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zuTPLz91523CCHUperYM9wWKIv9+ZSruyJj2+AkUnfuPhpUUbdx41YiVlcVp1roFi902yT0w06w6+ychFRnLUA==" workbookSaltValue="3s1fDCG7ya8mQKWw1La6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O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U9" i="17"/>
  <c r="U19" i="17" s="1"/>
  <c r="BF15" i="13"/>
  <c r="BG15" i="13"/>
  <c r="BA18" i="13"/>
  <c r="BE15" i="13"/>
  <c r="BF16" i="13"/>
  <c r="AA20" i="20"/>
  <c r="AV20" i="20"/>
  <c r="AP20" i="20"/>
  <c r="W20" i="20"/>
  <c r="M20" i="20"/>
  <c r="BD17" i="8" l="1"/>
  <c r="AN12" i="11"/>
  <c r="BG10" i="8"/>
  <c r="M18" i="2"/>
  <c r="AO9" i="1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S10" i="14"/>
  <c r="V10" i="14" s="1"/>
  <c r="S17" i="14"/>
  <c r="V17" i="14" s="1"/>
  <c r="BE9" i="8"/>
  <c r="I9" i="7" s="1"/>
  <c r="BG12" i="8"/>
  <c r="K12" i="7" s="1"/>
  <c r="BG15" i="8"/>
  <c r="R10" i="14"/>
  <c r="R12" i="14"/>
  <c r="R16" i="14"/>
  <c r="AM11" i="11"/>
  <c r="AM12" i="11"/>
  <c r="AO17" i="11"/>
  <c r="BB13"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N20" i="20"/>
  <c r="W20" i="21"/>
  <c r="AK20" i="20"/>
  <c r="AI20" i="20"/>
  <c r="AM20" i="20"/>
  <c r="AC20" i="20"/>
  <c r="AB20" i="20"/>
  <c r="I20" i="20"/>
  <c r="AD20" i="20"/>
  <c r="AX20" i="20"/>
  <c r="G18" i="14"/>
  <c r="U12" i="11"/>
  <c r="AJ20" i="20"/>
  <c r="O10" i="11"/>
  <c r="AL20" i="20"/>
  <c r="AG20" i="20"/>
  <c r="AE20" i="20"/>
  <c r="P20" i="20"/>
  <c r="Y20" i="20"/>
  <c r="Q20" i="20"/>
  <c r="F20" i="20"/>
  <c r="AF20" i="20"/>
  <c r="O16" i="11"/>
  <c r="T20" i="21"/>
  <c r="AQ20" i="20"/>
  <c r="R20" i="20"/>
  <c r="AO20" i="20"/>
  <c r="K20" i="20"/>
  <c r="Z20" i="20"/>
  <c r="J20" i="20"/>
  <c r="G13" i="14"/>
  <c r="AQ20" i="21"/>
  <c r="X20" i="20"/>
  <c r="U10" i="11"/>
  <c r="H20" i="20"/>
  <c r="AH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AC20" i="21"/>
  <c r="BE20" i="16"/>
  <c r="H20" i="12"/>
  <c r="BA20" i="16"/>
  <c r="H20" i="16"/>
  <c r="U20" i="16"/>
  <c r="J20" i="16"/>
  <c r="O20" i="11"/>
  <c r="I20" i="12"/>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Q20" i="17"/>
  <c r="T20" i="17"/>
  <c r="AS20" i="21"/>
  <c r="Z20" i="21"/>
  <c r="U20" i="17"/>
  <c r="AE20" i="16"/>
  <c r="AY20" i="11"/>
  <c r="P20" i="16"/>
  <c r="AN20" i="11"/>
  <c r="AI20" i="17"/>
  <c r="AT20" i="20"/>
  <c r="Y20" i="16"/>
  <c r="AT20" i="17"/>
  <c r="J20" i="12"/>
  <c r="AA20" i="16"/>
  <c r="G20" i="12"/>
  <c r="O20" i="16"/>
  <c r="S20" i="11"/>
  <c r="V20" i="17"/>
  <c r="L20" i="21"/>
  <c r="BE20" i="21"/>
  <c r="AF20" i="17"/>
  <c r="AN20" i="17"/>
  <c r="AR20" i="20"/>
  <c r="AM20" i="16"/>
  <c r="K20" i="21"/>
  <c r="AY20" i="16"/>
  <c r="AL20" i="16"/>
  <c r="AA20" i="21"/>
  <c r="AO20" i="17"/>
  <c r="AW20" i="21"/>
  <c r="AE20" i="17"/>
  <c r="BK20" i="16"/>
  <c r="S20" i="16"/>
  <c r="AM20" i="17"/>
  <c r="U20" i="20"/>
  <c r="AR20" i="17"/>
  <c r="AO20" i="11"/>
  <c r="I20" i="16"/>
  <c r="AY20" i="21"/>
  <c r="I20" i="21"/>
  <c r="T20" i="11"/>
  <c r="M20" i="21"/>
  <c r="AQ20" i="16"/>
  <c r="AF20" i="21"/>
  <c r="AC20" i="16"/>
  <c r="AI20" i="21"/>
  <c r="U20" i="11"/>
  <c r="D20" i="12"/>
  <c r="AU20" i="16"/>
  <c r="BH20" i="16"/>
  <c r="AS20" i="11"/>
  <c r="S20" i="17"/>
  <c r="J20" i="21"/>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<sst xmlns="http://schemas.openxmlformats.org/spreadsheetml/2006/main" count="2102" uniqueCount="916">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</sst>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ZHlIr1wRttEWiA5HXOsyzrKpINUQpFRxlllUR1Ev6dbsdaHUW/C1pt7OqVOQ2QrBbHcnWfAtwGM9kMsLTw7mg==" saltValue="oGT4zQKocwfBZUBRDPuy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58.51063829787234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338</v>
      </c>
      <c r="D16" s="225">
        <f>IF(ISNUMBER(IF(D_I="SI",Datos!I16,Datos!I16+Datos!AC16)),IF(D_I="SI",Datos!I16,Datos!I16+Datos!AC16)," - ")</f>
        <v>338</v>
      </c>
      <c r="E16" s="226">
        <f>IF(ISNUMBER(IF(D_I="SI",Datos!J16,Datos!J16+Datos!AD16)),IF(D_I="SI",Datos!J16,Datos!J16+Datos!AD16)," - ")</f>
        <v>88</v>
      </c>
      <c r="F16" s="226">
        <f>IF(ISNUMBER(IF(D_I="SI",Datos!K16,Datos!K16+Datos!AE16)),IF(D_I="SI",Datos!K16,Datos!K16+Datos!AE16)," - ")</f>
        <v>94</v>
      </c>
      <c r="G16" s="1034" t="str">
        <f>IF(Datos!E16&lt;&gt;"",Datos!E16,Datos!D16)</f>
        <v>04</v>
      </c>
      <c r="H16" s="227">
        <f>IF(ISNUMBER(IF(D_I="SI",Datos!L16,Datos!L16+Datos!AF16)),IF(D_I="SI",Datos!L16,Datos!L16+Datos!AF16)," - ")</f>
        <v>332</v>
      </c>
      <c r="I16" s="1044" t="str">
        <f>IF(ISNUMBER(Datos!AS16/Datos!BM16),Datos!AS16/Datos!BM16," - ")</f>
        <v xml:space="preserve"> - </v>
      </c>
      <c r="J16" s="1045">
        <f>IF(ISNUMBER(Datos!BY16/Datos!CN16),Datos!BY16/Datos!CN16," - ")</f>
        <v>0</v>
      </c>
      <c r="K16" s="230">
        <f t="shared" si="3"/>
        <v>-1.7751479289940829E-2</v>
      </c>
      <c r="L16" s="1025">
        <f>IF(ISNUMBER(NºAsuntos!I16/NºAsuntos!G16),(NºAsuntos!I16/NºAsuntos!G16)*11," - ")</f>
        <v>38.851063829787236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v>
      </c>
      <c r="D17" s="225">
        <f>IF(ISNUMBER(IF(D_I="SI",Datos!I17,Datos!I17+Datos!AC17)),IF(D_I="SI",Datos!I17,Datos!I17+Datos!AC17)," - ")</f>
        <v>17</v>
      </c>
      <c r="E17" s="226">
        <f>IF(ISNUMBER(IF(D_I="SI",Datos!J17,Datos!J17+Datos!AD17)),IF(D_I="SI",Datos!J17,Datos!J17+Datos!AD17)," - ")</f>
        <v>2</v>
      </c>
      <c r="F17" s="226">
        <f>IF(ISNUMBER(IF(D_I="SI",Datos!K17,Datos!K17+Datos!AE17)),IF(D_I="SI",Datos!K17,Datos!K17+Datos!AE17)," - ")</f>
        <v>1</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5.8823529411764705E-2</v>
      </c>
      <c r="L17" s="1025">
        <f>IF(ISNUMBER(NºAsuntos!I17/NºAsuntos!G17),(NºAsuntos!I17/NºAsuntos!G17)*11," - ")</f>
        <v>198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355</v>
      </c>
      <c r="D18" s="1049">
        <f>SUBTOTAL(9,D15:D17)</f>
        <v>355</v>
      </c>
      <c r="E18" s="1050">
        <f>SUBTOTAL(9,E15:E17)</f>
        <v>90</v>
      </c>
      <c r="F18" s="1050">
        <f>SUBTOTAL(9,F15:F17)</f>
        <v>95</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355</v>
      </c>
      <c r="D19" s="1071">
        <f>SUBTOTAL(9,D9:D18)</f>
        <v>355</v>
      </c>
      <c r="E19" s="1072">
        <f>SUBTOTAL(9,E9:E18)</f>
        <v>90</v>
      </c>
      <c r="F19" s="1072">
        <f>SUBTOTAL(9,F9:F18)</f>
        <v>95</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iSzqmPtmHK5mwYgro0BqaTWerEY2KSoa3MFCiAswgM8tvrhqS8HxYNX6uuLKLF8tkPSHY1W1ESDDiu6cspcxg==" saltValue="FhsstlS8//3MQCRkG1Tx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n76geC0sR+2NX7t0eV5J+77PgONA6kGaMDHEBv8kr30uwS9pZnxw1En9mPPr4oou5axxI0qd2nec2XSQ+0OTg==" saltValue="b0eif2jPbFFeDidTO1tl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453</v>
      </c>
      <c r="J12" s="183">
        <v>79</v>
      </c>
      <c r="K12" s="183">
        <v>88</v>
      </c>
      <c r="L12" s="183">
        <v>444</v>
      </c>
      <c r="M12" s="183">
        <v>38</v>
      </c>
      <c r="N12" s="183">
        <v>7</v>
      </c>
      <c r="O12" s="181">
        <v>10</v>
      </c>
      <c r="P12" s="183">
        <v>17</v>
      </c>
      <c r="Q12" s="183">
        <v>12</v>
      </c>
      <c r="R12" s="183">
        <v>190</v>
      </c>
      <c r="S12" s="183">
        <v>455</v>
      </c>
      <c r="T12" s="183">
        <v>77</v>
      </c>
      <c r="U12" s="183">
        <v>98</v>
      </c>
      <c r="V12" s="183">
        <v>434</v>
      </c>
      <c r="W12" s="183">
        <v>32</v>
      </c>
      <c r="X12" s="189">
        <v>34</v>
      </c>
      <c r="Y12" s="191">
        <v>52</v>
      </c>
      <c r="Z12" s="181">
        <v>10</v>
      </c>
      <c r="AA12" s="181">
        <v>6</v>
      </c>
      <c r="AB12" s="181">
        <v>56</v>
      </c>
      <c r="AC12" s="183">
        <v>0</v>
      </c>
      <c r="AD12" s="183">
        <v>0</v>
      </c>
      <c r="AE12" s="183">
        <v>0</v>
      </c>
      <c r="AF12" s="189">
        <v>0</v>
      </c>
      <c r="AG12" s="202">
        <v>31</v>
      </c>
      <c r="AH12" s="183">
        <v>22</v>
      </c>
      <c r="AI12" s="183">
        <v>7</v>
      </c>
      <c r="AJ12" s="203">
        <v>46</v>
      </c>
      <c r="AK12" s="182">
        <v>0</v>
      </c>
      <c r="AL12" s="183">
        <v>0</v>
      </c>
      <c r="AM12" s="183">
        <v>0</v>
      </c>
      <c r="AN12" s="189">
        <v>0</v>
      </c>
      <c r="AO12" s="259">
        <v>1</v>
      </c>
      <c r="AP12" s="155">
        <v>1</v>
      </c>
      <c r="AQ12" s="155">
        <v>1</v>
      </c>
      <c r="AR12" s="154">
        <v>1</v>
      </c>
      <c r="AS12" s="340" t="s">
        <v>794</v>
      </c>
      <c r="AT12" s="203"/>
      <c r="AU12" s="202"/>
      <c r="AV12" s="203"/>
      <c r="AW12" s="202"/>
      <c r="AX12" s="203"/>
      <c r="AY12" s="126">
        <f t="shared" si="1"/>
        <v>486</v>
      </c>
      <c r="AZ12" s="127">
        <f t="shared" si="1"/>
        <v>99</v>
      </c>
      <c r="BA12" s="127">
        <f t="shared" si="1"/>
        <v>105</v>
      </c>
      <c r="BB12" s="127">
        <f t="shared" si="1"/>
        <v>480</v>
      </c>
      <c r="BC12" s="125">
        <f>IF(ISNUMBER(X12),X12," - ")</f>
        <v>34</v>
      </c>
      <c r="BD12" s="126">
        <f t="shared" si="2"/>
        <v>1.0606060606060606</v>
      </c>
      <c r="BE12" s="127">
        <f t="shared" si="3"/>
        <v>4.5714285714285712</v>
      </c>
      <c r="BF12" s="127">
        <f t="shared" si="4"/>
        <v>0.32380952380952382</v>
      </c>
      <c r="BG12" s="196">
        <f t="shared" si="5"/>
        <v>5.5714285714285712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453</v>
      </c>
      <c r="J13" s="184">
        <f t="shared" si="6"/>
        <v>79</v>
      </c>
      <c r="K13" s="184">
        <f t="shared" si="6"/>
        <v>88</v>
      </c>
      <c r="L13" s="184">
        <f t="shared" si="6"/>
        <v>444</v>
      </c>
      <c r="M13" s="184">
        <f t="shared" si="6"/>
        <v>38</v>
      </c>
      <c r="N13" s="184">
        <f t="shared" si="6"/>
        <v>7</v>
      </c>
      <c r="O13" s="184">
        <f t="shared" si="6"/>
        <v>10</v>
      </c>
      <c r="P13" s="184">
        <f t="shared" si="6"/>
        <v>17</v>
      </c>
      <c r="Q13" s="184">
        <f t="shared" si="6"/>
        <v>12</v>
      </c>
      <c r="R13" s="184">
        <f t="shared" si="6"/>
        <v>190</v>
      </c>
      <c r="S13" s="184">
        <f t="shared" si="6"/>
        <v>456</v>
      </c>
      <c r="T13" s="184">
        <f t="shared" si="6"/>
        <v>77</v>
      </c>
      <c r="U13" s="184">
        <f t="shared" si="6"/>
        <v>98</v>
      </c>
      <c r="V13" s="184">
        <f t="shared" si="6"/>
        <v>435</v>
      </c>
      <c r="W13" s="184">
        <f t="shared" si="6"/>
        <v>32</v>
      </c>
      <c r="X13" s="184">
        <f t="shared" si="6"/>
        <v>34</v>
      </c>
      <c r="Y13" s="184">
        <f t="shared" si="6"/>
        <v>52</v>
      </c>
      <c r="Z13" s="184">
        <f t="shared" si="6"/>
        <v>10</v>
      </c>
      <c r="AA13" s="184">
        <f t="shared" si="6"/>
        <v>6</v>
      </c>
      <c r="AB13" s="184">
        <f t="shared" si="6"/>
        <v>56</v>
      </c>
      <c r="AC13" s="184">
        <f t="shared" si="6"/>
        <v>0</v>
      </c>
      <c r="AD13" s="184">
        <f t="shared" si="6"/>
        <v>0</v>
      </c>
      <c r="AE13" s="184">
        <f t="shared" si="6"/>
        <v>0</v>
      </c>
      <c r="AF13" s="184">
        <f>SUBTOTAL(9,AF9:AF12)</f>
        <v>0</v>
      </c>
      <c r="AG13" s="184">
        <f t="shared" ref="AG13:AT13" si="7">SUBTOTAL(9,AG8:AG12)</f>
        <v>31</v>
      </c>
      <c r="AH13" s="184">
        <f t="shared" si="7"/>
        <v>22</v>
      </c>
      <c r="AI13" s="184">
        <f t="shared" si="7"/>
        <v>7</v>
      </c>
      <c r="AJ13" s="184">
        <f t="shared" si="7"/>
        <v>46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487</v>
      </c>
      <c r="AZ13" s="184">
        <f>SUBTOTAL(9,AZ8:AZ12)</f>
        <v>99</v>
      </c>
      <c r="BA13" s="184">
        <f>SUBTOTAL(9,BA8:BA12)</f>
        <v>105</v>
      </c>
      <c r="BB13" s="184">
        <f>SUBTOTAL(9,BB8:BB12)</f>
        <v>481</v>
      </c>
      <c r="BC13" s="184">
        <f>SUBTOTAL(9,BC8:BC12)</f>
        <v>34</v>
      </c>
      <c r="BD13" s="205">
        <f>IF(ISNUMBER(BA13/AZ13),BA13/AZ13," - ")</f>
        <v>1.0606060606060606</v>
      </c>
      <c r="BE13" s="206">
        <f>IF(ISNUMBER(BB13/BA13),BB13/BA13, " - ")</f>
        <v>4.5809523809523807</v>
      </c>
      <c r="BF13" s="206">
        <f>IF(ISNUMBER(BC13/BA13),BC13/BA13, " - ")</f>
        <v>0.32380952380952382</v>
      </c>
      <c r="BG13" s="207">
        <f>IF(ISNUMBER((AY13+AZ13)/BA13),(AY13+AZ13)/BA13," - ")</f>
        <v>5.5809523809523807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338</v>
      </c>
      <c r="J16" s="183">
        <v>88</v>
      </c>
      <c r="K16" s="183">
        <v>94</v>
      </c>
      <c r="L16" s="183">
        <v>332</v>
      </c>
      <c r="M16" s="183">
        <v>8</v>
      </c>
      <c r="N16" s="183">
        <v>71</v>
      </c>
      <c r="O16" s="181">
        <v>0</v>
      </c>
      <c r="P16" s="183">
        <v>2</v>
      </c>
      <c r="Q16" s="183">
        <v>0</v>
      </c>
      <c r="R16" s="183">
        <v>48</v>
      </c>
      <c r="S16" s="183">
        <v>244</v>
      </c>
      <c r="T16" s="183">
        <v>92</v>
      </c>
      <c r="U16" s="183">
        <v>67</v>
      </c>
      <c r="V16" s="183">
        <v>271</v>
      </c>
      <c r="W16" s="183">
        <v>8</v>
      </c>
      <c r="X16" s="189">
        <v>51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244</v>
      </c>
      <c r="AZ16" s="127">
        <f t="shared" si="9"/>
        <v>92</v>
      </c>
      <c r="BA16" s="127">
        <f t="shared" si="9"/>
        <v>67</v>
      </c>
      <c r="BB16" s="127">
        <f t="shared" si="9"/>
        <v>271</v>
      </c>
      <c r="BC16" s="125">
        <f>IF(ISNUMBER(W16),W16," - ")</f>
        <v>8</v>
      </c>
      <c r="BD16" s="126">
        <f t="shared" ref="BD16" si="11">IF(ISNUMBER(BA16/AZ16),BA16/AZ16," - ")</f>
        <v>0.72826086956521741</v>
      </c>
      <c r="BE16" s="127">
        <f t="shared" ref="BE16" si="12">IF(ISNUMBER(BB16/BA16),BB16/BA16, " - ")</f>
        <v>4.044776119402985</v>
      </c>
      <c r="BF16" s="127">
        <f t="shared" ref="BF16" si="13">IF(ISNUMBER(BC16/BA16),BC16/BA16, " - ")</f>
        <v>0.11940298507462686</v>
      </c>
      <c r="BG16" s="196">
        <f t="shared" si="10"/>
        <v>5.0149253731343286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v>
      </c>
      <c r="J17" s="183">
        <v>2</v>
      </c>
      <c r="K17" s="183">
        <v>1</v>
      </c>
      <c r="L17" s="183">
        <v>18</v>
      </c>
      <c r="M17" s="183">
        <v>0</v>
      </c>
      <c r="N17" s="183">
        <v>2</v>
      </c>
      <c r="O17" s="183">
        <v>0</v>
      </c>
      <c r="P17" s="183">
        <v>0</v>
      </c>
      <c r="Q17" s="183">
        <v>0</v>
      </c>
      <c r="R17" s="183">
        <v>0</v>
      </c>
      <c r="S17" s="183">
        <v>15</v>
      </c>
      <c r="T17" s="183">
        <v>3</v>
      </c>
      <c r="U17" s="183">
        <v>3</v>
      </c>
      <c r="V17" s="183">
        <v>15</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v>
      </c>
      <c r="AZ17" s="129">
        <f t="shared" si="14"/>
        <v>3</v>
      </c>
      <c r="BA17" s="129">
        <f t="shared" si="14"/>
        <v>3</v>
      </c>
      <c r="BB17" s="129">
        <f t="shared" si="14"/>
        <v>15</v>
      </c>
      <c r="BC17" s="125">
        <f>IF(ISNUMBER(W17),W17," - ")</f>
        <v>0</v>
      </c>
      <c r="BD17" s="126">
        <f>IF(ISNUMBER(BA17/AZ17),BA17/AZ17," - ")</f>
        <v>1</v>
      </c>
      <c r="BE17" s="127">
        <f>IF(ISNUMBER(BB17/BA17),BB17/BA17, " - ")</f>
        <v>5</v>
      </c>
      <c r="BF17" s="127">
        <f>IF(ISNUMBER(BC17/BA17),BC17/BA17, " - ")</f>
        <v>0</v>
      </c>
      <c r="BG17" s="196">
        <f>IF(ISNUMBER((AY17+AZ17)/BA17),(AY17+AZ17)/BA17," - ")</f>
        <v>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355</v>
      </c>
      <c r="J18" s="184">
        <f t="shared" si="15"/>
        <v>90</v>
      </c>
      <c r="K18" s="184">
        <f t="shared" si="15"/>
        <v>95</v>
      </c>
      <c r="L18" s="184">
        <f t="shared" si="15"/>
        <v>350</v>
      </c>
      <c r="M18" s="184">
        <f t="shared" si="15"/>
        <v>8</v>
      </c>
      <c r="N18" s="184">
        <f t="shared" si="15"/>
        <v>73</v>
      </c>
      <c r="O18" s="184">
        <f t="shared" si="15"/>
        <v>0</v>
      </c>
      <c r="P18" s="184">
        <f t="shared" si="15"/>
        <v>2</v>
      </c>
      <c r="Q18" s="184">
        <f t="shared" si="15"/>
        <v>0</v>
      </c>
      <c r="R18" s="184">
        <f t="shared" si="15"/>
        <v>48</v>
      </c>
      <c r="S18" s="184">
        <f t="shared" si="15"/>
        <v>259</v>
      </c>
      <c r="T18" s="184">
        <f t="shared" si="15"/>
        <v>95</v>
      </c>
      <c r="U18" s="184">
        <f t="shared" si="15"/>
        <v>70</v>
      </c>
      <c r="V18" s="184">
        <f t="shared" si="15"/>
        <v>286</v>
      </c>
      <c r="W18" s="184">
        <f t="shared" si="15"/>
        <v>8</v>
      </c>
      <c r="X18" s="184">
        <f t="shared" si="15"/>
        <v>53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259</v>
      </c>
      <c r="AZ18" s="184">
        <f>SUBTOTAL(9,AZ14:AZ17)</f>
        <v>95</v>
      </c>
      <c r="BA18" s="184">
        <f>SUBTOTAL(9,BA14:BA17)</f>
        <v>70</v>
      </c>
      <c r="BB18" s="184">
        <f>SUBTOTAL(9,BB14:BB17)</f>
        <v>286</v>
      </c>
      <c r="BC18" s="184">
        <f>SUBTOTAL(9,BC14:BC17)</f>
        <v>8</v>
      </c>
      <c r="BD18" s="205">
        <f>IF(ISNUMBER(BA18/AZ18),BA18/AZ18," - ")</f>
        <v>0.73684210526315785</v>
      </c>
      <c r="BE18" s="206">
        <f>IF(ISNUMBER(BB18/BA18),BB18/BA18, " - ")</f>
        <v>4.0857142857142854</v>
      </c>
      <c r="BF18" s="206">
        <f>IF(ISNUMBER(BC18/BA18),BC18/BA18, " - ")</f>
        <v>0.11428571428571428</v>
      </c>
      <c r="BG18" s="207">
        <f>IF(ISNUMBER((AY18+AZ18)/BA18),(AY18+AZ18)/BA18," - ")</f>
        <v>5.0571428571428569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808</v>
      </c>
      <c r="J19" s="134">
        <f t="shared" si="18"/>
        <v>169</v>
      </c>
      <c r="K19" s="134">
        <f t="shared" si="18"/>
        <v>183</v>
      </c>
      <c r="L19" s="134">
        <f t="shared" si="18"/>
        <v>794</v>
      </c>
      <c r="M19" s="134">
        <f t="shared" si="18"/>
        <v>46</v>
      </c>
      <c r="N19" s="134">
        <f t="shared" si="18"/>
        <v>80</v>
      </c>
      <c r="O19" s="134">
        <f t="shared" si="18"/>
        <v>10</v>
      </c>
      <c r="P19" s="134">
        <f t="shared" si="18"/>
        <v>19</v>
      </c>
      <c r="Q19" s="134">
        <f t="shared" si="18"/>
        <v>12</v>
      </c>
      <c r="R19" s="134">
        <f t="shared" si="18"/>
        <v>238</v>
      </c>
      <c r="S19" s="134">
        <f t="shared" si="18"/>
        <v>715</v>
      </c>
      <c r="T19" s="134">
        <f t="shared" si="18"/>
        <v>172</v>
      </c>
      <c r="U19" s="134">
        <f t="shared" si="18"/>
        <v>168</v>
      </c>
      <c r="V19" s="134">
        <f t="shared" si="18"/>
        <v>721</v>
      </c>
      <c r="W19" s="134">
        <f t="shared" si="18"/>
        <v>40</v>
      </c>
      <c r="X19" s="134">
        <f t="shared" si="18"/>
        <v>87</v>
      </c>
      <c r="Y19" s="134">
        <f t="shared" si="18"/>
        <v>52</v>
      </c>
      <c r="Z19" s="134">
        <f t="shared" si="18"/>
        <v>10</v>
      </c>
      <c r="AA19" s="134">
        <f t="shared" si="18"/>
        <v>6</v>
      </c>
      <c r="AB19" s="134">
        <f t="shared" si="18"/>
        <v>56</v>
      </c>
      <c r="AC19" s="134">
        <f t="shared" si="18"/>
        <v>0</v>
      </c>
      <c r="AD19" s="134">
        <f t="shared" si="18"/>
        <v>0</v>
      </c>
      <c r="AE19" s="134">
        <f t="shared" si="18"/>
        <v>0</v>
      </c>
      <c r="AF19" s="134">
        <f t="shared" si="18"/>
        <v>0</v>
      </c>
      <c r="AG19" s="134">
        <f t="shared" si="18"/>
        <v>31</v>
      </c>
      <c r="AH19" s="134">
        <f t="shared" si="18"/>
        <v>22</v>
      </c>
      <c r="AI19" s="134">
        <f t="shared" si="18"/>
        <v>7</v>
      </c>
      <c r="AJ19" s="134">
        <f t="shared" si="18"/>
        <v>46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746</v>
      </c>
      <c r="AZ19" s="134">
        <f>SUBTOTAL(9,AZ9:AZ18)</f>
        <v>194</v>
      </c>
      <c r="BA19" s="134">
        <f>SUBTOTAL(9,BA9:BA18)</f>
        <v>175</v>
      </c>
      <c r="BB19" s="134">
        <f>SUBTOTAL(9,BB9:BB18)</f>
        <v>767</v>
      </c>
      <c r="BC19" s="135">
        <f>SUBTOTAL(9,BC9:BC18)</f>
        <v>42</v>
      </c>
      <c r="BD19" s="213">
        <f>IF(ISNUMBER(BA19/AZ19),BA19/AZ19," - ")</f>
        <v>0.90206185567010311</v>
      </c>
      <c r="BE19" s="210">
        <f>IF(ISNUMBER(BB19/BA19),BB19/BA19, " - ")</f>
        <v>4.3828571428571426</v>
      </c>
      <c r="BF19" s="210">
        <f>IF(ISNUMBER(BC19/BA19),BC19/BA19, " - ")</f>
        <v>0.24</v>
      </c>
      <c r="BG19" s="135">
        <f>IF(ISNUMBER((AY19+AZ19)/BA19),(AY19+AZ19)/BA19," - ")</f>
        <v>5.371428571428571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Xxt91SZM4cGzU518wCqGnHeyw7CohaHDQHBR2XLrX3HbHO1kJ6oH7YMlzjCqs2yxCW47l8JRobCDRZwop3KQ==" saltValue="JswP0mmTk+XqARcCxqlX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YnbHI/INSNqeRANqZV2leTxpWPXGN9qQtYI+2ChVD58I5jwDC9IbrX0f3FUDGxANjOpem2l75iUM0LIZHQ==" saltValue="JfiFBgjKGhYYksGGxxAwS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PIEDRAHITA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17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56</v>
      </c>
      <c r="AI12" s="334" t="str">
        <f>IF(ISNUMBER(Datos!CD12),Datos!CD12,"-")</f>
        <v>-</v>
      </c>
      <c r="AJ12" s="334" t="str">
        <f>IF(ISNUMBER(Datos!EN12),Datos!EN12," - ")</f>
        <v xml:space="preserve"> - </v>
      </c>
      <c r="AK12" s="334"/>
      <c r="AL12" s="479"/>
      <c r="AM12" s="335">
        <f>IF(ISNUMBER(Datos!R12),Datos!R12," - ")</f>
        <v>190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1.0561797752808988</v>
      </c>
      <c r="BH12" s="260">
        <f>IF(ISNUMBER(((IF(J_V="SI",Datos!L12/Datos!K12,(Datos!L12+Datos!AB12)/(Datos!K12+Datos!AA12)))*11)/factor_trimestre),((IF(J_V="SI",Datos!L12/Datos!K12,(Datos!L12+Datos!AB12)/(Datos!K12+Datos!AA12)))*11)/factor_trimestre," - ")</f>
        <v>15.957446808510639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2.7027027027027029E-2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17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12</v>
      </c>
      <c r="AD13" s="899">
        <f t="shared" si="1"/>
        <v>0</v>
      </c>
      <c r="AE13" s="899">
        <f t="shared" si="1"/>
        <v>0</v>
      </c>
      <c r="AF13" s="899">
        <f t="shared" si="1"/>
        <v>0</v>
      </c>
      <c r="AG13" s="899">
        <f t="shared" si="1"/>
        <v>0</v>
      </c>
      <c r="AH13" s="899">
        <f t="shared" si="1"/>
        <v>56</v>
      </c>
      <c r="AI13" s="899">
        <f t="shared" si="1"/>
        <v>0</v>
      </c>
      <c r="AJ13" s="899">
        <f t="shared" si="1"/>
        <v>0</v>
      </c>
      <c r="AK13" s="899">
        <f t="shared" si="1"/>
        <v>0</v>
      </c>
      <c r="AL13" s="899">
        <f t="shared" si="1"/>
        <v>0</v>
      </c>
      <c r="AM13" s="899">
        <f t="shared" si="1"/>
        <v>190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v>
      </c>
      <c r="BD13" s="899">
        <f t="shared" si="1"/>
        <v>7</v>
      </c>
      <c r="BE13" s="899">
        <f t="shared" si="1"/>
        <v>0</v>
      </c>
      <c r="BF13" s="899">
        <f t="shared" si="1"/>
        <v>0</v>
      </c>
      <c r="BG13" s="899">
        <f>IF(ISNUMBER(Datos!K13/Datos!J13),Datos!K13/Datos!J13," - ")</f>
        <v>1.1139240506329113</v>
      </c>
      <c r="BH13" s="903">
        <f>IF(ISNUMBER(((Datos!L13/Datos!K13)*11)/factor_trimestre),((Datos!L13/Datos!K13)*11)/factor_trimestre," - ")</f>
        <v>15.136363636363638</v>
      </c>
      <c r="BI13" s="899">
        <f>IF(ISNUMBER('Resol  Asuntos'!D13/NºAsuntos!G13),'Resol  Asuntos'!D13/NºAsuntos!G13," - ")</f>
        <v>0.40425531914893614</v>
      </c>
      <c r="BJ13" s="899" t="str">
        <f>IF(ISNUMBER(Datos!CI13/Datos!CJ13),Datos!CI13/Datos!CJ13," - ")</f>
        <v xml:space="preserve"> - </v>
      </c>
      <c r="BK13" s="899">
        <f>SUBTOTAL(9,BK8:BK12)</f>
        <v>0</v>
      </c>
      <c r="BL13" s="899" t="str">
        <f>IF(ISNUMBER((I13-AB13+L13)/(F13)),(I13-AB13+L13)/(F13)," - ")</f>
        <v xml:space="preserve"> - </v>
      </c>
      <c r="BM13" s="904">
        <f>SUBTOTAL(9,BM9:BM12)</f>
        <v>2.7027027027027029E-2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338</v>
      </c>
      <c r="G16" s="598">
        <f>IF(ISNUMBER(IF(D_I="SI",Datos!I16,Datos!I16+Datos!AC16)),IF(D_I="SI",Datos!I16,Datos!I16+Datos!AC16)," - ")</f>
        <v>338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94</v>
      </c>
      <c r="AC16" s="226">
        <f>IF(ISNUMBER(Datos!Q16),Datos!Q16," - ")</f>
        <v>0</v>
      </c>
      <c r="AD16" s="334"/>
      <c r="AE16" s="484"/>
      <c r="AF16" s="596">
        <f>IF(ISNUMBER(IF(D_I="SI",Datos!L16,Datos!L16+Datos!AF16)),IF(D_I="SI",Datos!L16,Datos!L16+Datos!AF16)," - ")</f>
        <v>332</v>
      </c>
      <c r="AG16" s="334"/>
      <c r="AH16" s="334"/>
      <c r="AI16" s="334"/>
      <c r="AJ16" s="334"/>
      <c r="AK16" s="334"/>
      <c r="AL16" s="479"/>
      <c r="AM16" s="335">
        <f>IF(ISNUMBER(Datos!R16),Datos!R16," - ")</f>
        <v>48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v>
      </c>
      <c r="BD16" s="229">
        <f>IF(ISNUMBER(Datos!N16),Datos!N16," - ")</f>
        <v>71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1.0681818181818181</v>
      </c>
      <c r="BH16" s="260">
        <f>IF(ISNUMBER(((IF(D_I="SI",Datos!L16/Datos!K16,(Datos!L16+Datos!AF16)/(Datos!K16+Datos!AE16)))*11)/factor_trimestre),((IF(D_I="SI",Datos!L16/Datos!K16,(Datos!L16+Datos!AF16)/(Datos!K16+Datos!AE16)))*11)/factor_trimestre," - ")</f>
        <v>10.595744680851064</v>
      </c>
      <c r="BI16" s="243">
        <f>IF(ISNUMBER('Resol  Asuntos'!D16/NºAsuntos!G16),'Resol  Asuntos'!D16/NºAsuntos!G16," - ")</f>
        <v>8.5106382978723402E-2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v>
      </c>
      <c r="BH17" s="260">
        <f>IF(ISNUMBER(((IF(D_I="SI",Datos!L17/Datos!K17,(Datos!L17+Datos!AF17)/(Datos!K17+Datos!AE17)))*11)/factor_trimestre),((IF(D_I="SI",Datos!L17/Datos!K17,(Datos!L17+Datos!AF17)/(Datos!K17+Datos!AE17)))*11)/factor_trimestre," - ")</f>
        <v>54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338</v>
      </c>
      <c r="G18" s="898">
        <f>SUBTOTAL(9,G15:G17)</f>
        <v>355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95</v>
      </c>
      <c r="AC18" s="899">
        <f t="shared" si="4"/>
        <v>0</v>
      </c>
      <c r="AD18" s="899">
        <f t="shared" si="4"/>
        <v>0</v>
      </c>
      <c r="AE18" s="899">
        <f t="shared" si="4"/>
        <v>0</v>
      </c>
      <c r="AF18" s="899">
        <f t="shared" si="4"/>
        <v>350</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v>
      </c>
      <c r="BD18" s="899">
        <f t="shared" si="4"/>
        <v>73</v>
      </c>
      <c r="BE18" s="899">
        <f t="shared" si="4"/>
        <v>0</v>
      </c>
      <c r="BF18" s="899">
        <f t="shared" si="4"/>
        <v>0</v>
      </c>
      <c r="BG18" s="899">
        <f>IF(ISNUMBER(Datos!K18/Datos!J18),Datos!K18/Datos!J18," - ")</f>
        <v>1.0555555555555556</v>
      </c>
      <c r="BH18" s="903">
        <f>IF(ISNUMBER(((Datos!L18/Datos!K18)*11)/factor_trimestre),((Datos!L18/Datos!K18)*11)/factor_trimestre," - ")</f>
        <v>11.05263157894737</v>
      </c>
      <c r="BI18" s="899">
        <f>SUBTOTAL(9,BI15:BI17)</f>
        <v>8.5106382978723402E-2</v>
      </c>
      <c r="BJ18" s="899">
        <f>SUBTOTAL(9,BJ15:BJ17)</f>
        <v>0</v>
      </c>
      <c r="BK18" s="899">
        <f>SUBTOTAL(9,BK15:BK17)</f>
        <v>0</v>
      </c>
      <c r="BL18" s="899">
        <f>IF(ISNUMBER((I18-AB18+L18)/(F18)),(I18-AB18+L18)/(F18)," - ")</f>
        <v>-0.28106508875739644</v>
      </c>
      <c r="BM18" s="905">
        <f>IF(ISNUMBER((Datos!P18-Datos!Q18)/(Datos!R18-Datos!P18+Datos!Q18)),(Datos!P18-Datos!Q18)/(Datos!R18-Datos!P18+Datos!Q18)," - ")</f>
        <v>4.3478260869565216E-2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338</v>
      </c>
      <c r="G19" s="820">
        <f t="shared" si="6"/>
        <v>355</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95</v>
      </c>
      <c r="AC19" s="821">
        <f t="shared" si="7"/>
        <v>12</v>
      </c>
      <c r="AD19" s="821">
        <f t="shared" si="7"/>
        <v>0</v>
      </c>
      <c r="AE19" s="821">
        <f t="shared" si="7"/>
        <v>0</v>
      </c>
      <c r="AF19" s="828">
        <f t="shared" si="7"/>
        <v>350</v>
      </c>
      <c r="AG19" s="828">
        <f t="shared" si="7"/>
        <v>0</v>
      </c>
      <c r="AH19" s="828">
        <f t="shared" si="7"/>
        <v>56</v>
      </c>
      <c r="AI19" s="828">
        <f t="shared" si="7"/>
        <v>0</v>
      </c>
      <c r="AJ19" s="821">
        <f t="shared" si="7"/>
        <v>0</v>
      </c>
      <c r="AK19" s="828">
        <f t="shared" si="7"/>
        <v>0</v>
      </c>
      <c r="AL19" s="828">
        <f t="shared" si="7"/>
        <v>0</v>
      </c>
      <c r="AM19" s="828">
        <f t="shared" si="7"/>
        <v>238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v>
      </c>
      <c r="BD19" s="820">
        <f t="shared" si="7"/>
        <v>80</v>
      </c>
      <c r="BE19" s="820">
        <f t="shared" si="7"/>
        <v>0</v>
      </c>
      <c r="BF19" s="830">
        <f t="shared" si="7"/>
        <v>0</v>
      </c>
      <c r="BG19" s="915">
        <f>IF(ISNUMBER(Datos!K19/Datos!J19),Datos!K19/Datos!J19," - ")</f>
        <v>1.0828402366863905</v>
      </c>
      <c r="BH19" s="915">
        <f>IF(ISNUMBER(((Datos!L19/Datos!K19)*11)/factor_trimestre),((Datos!L19/Datos!K19)*11)/factor_trimestre," - ")</f>
        <v>13.016393442622951</v>
      </c>
      <c r="BI19" s="813">
        <f>IF(ISNUMBER(Datos!J19/Datos!I19),Datos!J19/Datos!I19," - ")</f>
        <v>0.20915841584158415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-0.28106508875739644</v>
      </c>
      <c r="BM19" s="889">
        <f>IF(ISNUMBER((Datos!P19-Datos!Q19+R19)/(Datos!R19-Datos!P19+Datos!Q19-R19)),(Datos!P19-Datos!Q19+R19)/(Datos!R19-Datos!P19+Datos!Q19-R19)," - ")</f>
        <v>3.0303030303030304E-2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195.14439098609353</v>
      </c>
      <c r="G21" s="552">
        <f>IF(ISNUMBER(STDEV(G8:G18)),STDEV(G8:G18),"-")</f>
        <v>186.90773124726542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51.580034897235187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17.918333255821164</v>
      </c>
      <c r="BD21" s="551"/>
      <c r="BE21" s="551">
        <f>IF(ISNUMBER(STDEV(BE8:BE18)),STDEV(BE8:BE18),"-")</f>
        <v>0</v>
      </c>
      <c r="BF21" s="556">
        <f>IF(ISNUMBER(STDEV(BF8:BF18)),STDEV(BF8:BF18),"-")</f>
        <v>0</v>
      </c>
      <c r="BG21" s="775">
        <f>IF(ISNUMBER(STDEV(BG8:BG18)),STDEV(BG8:BG18),"-")</f>
        <v>0.25757025563651303</v>
      </c>
      <c r="BH21" s="776">
        <f>IF(ISNUMBER(STDEV(BH8:BH18)),STDEV(BH8:BH18),"-")</f>
        <v>18.407886886069814</v>
      </c>
      <c r="BI21" s="249">
        <f>IF(ISNUMBER(STDEV(BI8:BI18)),STDEV(BI8:BI18),"-")</f>
        <v>0.17833036823659798</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ZvRgQFLZq4QGdLES+GWWrAxRgPj9Owz3Rl3PslJX/Hf/2c6btf6twCMxPlNk0hD9Q/TtcvWrOfBGoW1XHQ24w==" saltValue="XdQ0h6LoTLbJX9/uY/xY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AVILA  Resumenes por Partidos Judiciales  PIEDRAHITA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v>
      </c>
      <c r="AA12" s="332" t="str">
        <f>IF(ISNUMBER(IF(J_V="SI",Datos!L12,Datos!L12+Datos!AB12)-IF(Monitorios="SI",Datos!CD12,0)),
                          IF(J_V="SI",Datos!L12,Datos!L12+Datos!AB12)-IF(Monitorios="SI",Datos!CD12,0),
                          " - ")</f>
        <v xml:space="preserve"> - </v>
      </c>
      <c r="AB12" s="334"/>
      <c r="AC12" s="334"/>
      <c r="AD12" s="484"/>
      <c r="AE12" s="484">
        <f>IF(ISNUMBER(Datos!R12),Datos!R12," - ")</f>
        <v>190</v>
      </c>
      <c r="AF12" s="229" t="str">
        <f>IF(ISNUMBER(Datos!BV12),Datos!BV12," - ")</f>
        <v xml:space="preserve"> - </v>
      </c>
      <c r="AG12" s="225" t="str">
        <f>IF(ISNUMBER(Datos!DV12),Datos!DV12," - ")</f>
        <v xml:space="preserve"> - </v>
      </c>
      <c r="AH12" s="298"/>
      <c r="AI12" s="227"/>
      <c r="AJ12" s="225">
        <f>IF(ISNUMBER(Datos!M12),Datos!M12," - ")</f>
        <v>38</v>
      </c>
      <c r="AK12" s="229">
        <f>IF(ISNUMBER(Datos!N12),Datos!N12," - ")</f>
        <v>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15.957446808510639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2.7027027027027029E-2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12</v>
      </c>
      <c r="AA13" s="900">
        <f t="shared" si="2"/>
        <v>0</v>
      </c>
      <c r="AB13" s="900">
        <f t="shared" si="2"/>
        <v>0</v>
      </c>
      <c r="AC13" s="900">
        <f t="shared" si="2"/>
        <v>0</v>
      </c>
      <c r="AD13" s="900">
        <f t="shared" si="2"/>
        <v>0</v>
      </c>
      <c r="AE13" s="900">
        <f t="shared" si="2"/>
        <v>190</v>
      </c>
      <c r="AF13" s="908">
        <f t="shared" si="2"/>
        <v>0</v>
      </c>
      <c r="AG13" s="908">
        <f t="shared" si="2"/>
        <v>0</v>
      </c>
      <c r="AH13" s="908">
        <f t="shared" si="2"/>
        <v>0</v>
      </c>
      <c r="AI13" s="908">
        <f t="shared" si="2"/>
        <v>0</v>
      </c>
      <c r="AJ13" s="908">
        <f t="shared" si="2"/>
        <v>38</v>
      </c>
      <c r="AK13" s="908">
        <f t="shared" si="2"/>
        <v>7</v>
      </c>
      <c r="AL13" s="908">
        <f t="shared" si="2"/>
        <v>0</v>
      </c>
      <c r="AM13" s="908">
        <f t="shared" si="2"/>
        <v>0</v>
      </c>
      <c r="AN13" s="908">
        <f t="shared" si="2"/>
        <v>0</v>
      </c>
      <c r="AO13" s="904">
        <f>IF(ISNUMBER(((NºAsuntos!I13/NºAsuntos!G13)*11)/factor_trimestre),((NºAsuntos!I13/NºAsuntos!G13)*11)/factor_trimestre," - ")</f>
        <v>15.957446808510639</v>
      </c>
      <c r="AP13" s="910" t="str">
        <f>IF(ISNUMBER(Datos!CI13/Datos!CJ13),Datos!CI13/Datos!CJ13," - ")</f>
        <v xml:space="preserve"> - </v>
      </c>
      <c r="AQ13" s="928">
        <f t="shared" ref="AQ13:AV13" si="3">SUBTOTAL(9,AQ9:AQ12)</f>
        <v>0</v>
      </c>
      <c r="AR13" s="928">
        <f t="shared" si="3"/>
        <v>2.7027027027027029E-2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338</v>
      </c>
      <c r="G16" s="225">
        <f>IF(ISNUMBER(IF(D_I="SI",Datos!I16,Datos!I16+Datos!AC16)),IF(D_I="SI",Datos!I16,Datos!I16+Datos!AC16)," - ")</f>
        <v>338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94</v>
      </c>
      <c r="Z16" s="619">
        <f>IF(ISNUMBER(Datos!Q16),Datos!Q16," - ")</f>
        <v>0</v>
      </c>
      <c r="AA16" s="332">
        <f>IF(ISNUMBER(IF(D_I="SI",Datos!L16,Datos!L16+Datos!AF16)),IF(D_I="SI",Datos!L16,Datos!L16+Datos!AF16)," - ")</f>
        <v>332</v>
      </c>
      <c r="AB16" s="334"/>
      <c r="AC16" s="334"/>
      <c r="AD16" s="484"/>
      <c r="AE16" s="484">
        <f>IF(ISNUMBER(Datos!R16),Datos!R16," - ")</f>
        <v>48</v>
      </c>
      <c r="AF16" s="229" t="str">
        <f>IF(ISNUMBER(Datos!BV16),Datos!BV16," - ")</f>
        <v xml:space="preserve"> - </v>
      </c>
      <c r="AG16" s="225"/>
      <c r="AH16" s="298"/>
      <c r="AI16" s="227"/>
      <c r="AJ16" s="225">
        <f>IF(ISNUMBER(Datos!M16),Datos!M16," - ")</f>
        <v>8</v>
      </c>
      <c r="AK16" s="229">
        <f>IF(ISNUMBER(Datos!N16),Datos!N16," - ")</f>
        <v>71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10.595744680851064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338</v>
      </c>
      <c r="G18" s="898">
        <f>SUBTOTAL(9,G15:G17)</f>
        <v>355</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95</v>
      </c>
      <c r="Z18" s="932">
        <f t="shared" si="5"/>
        <v>0</v>
      </c>
      <c r="AA18" s="932">
        <f t="shared" si="5"/>
        <v>350</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8</v>
      </c>
      <c r="AK18" s="932">
        <f t="shared" si="5"/>
        <v>73</v>
      </c>
      <c r="AL18" s="932">
        <f t="shared" si="5"/>
        <v>0</v>
      </c>
      <c r="AM18" s="932">
        <f t="shared" si="5"/>
        <v>0</v>
      </c>
      <c r="AN18" s="932">
        <f t="shared" si="5"/>
        <v>0</v>
      </c>
      <c r="AO18" s="934">
        <f>IF(ISNUMBER(((NºAsuntos!I18/NºAsuntos!G18)*11)/factor_trimestre),((NºAsuntos!I18/NºAsuntos!G18)*11)/factor_trimestre," - ")</f>
        <v>11.05263157894737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338</v>
      </c>
      <c r="G19" s="820">
        <f t="shared" si="7"/>
        <v>355</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95</v>
      </c>
      <c r="Z19" s="827">
        <f t="shared" si="8"/>
        <v>12</v>
      </c>
      <c r="AA19" s="828">
        <f t="shared" si="8"/>
        <v>350</v>
      </c>
      <c r="AB19" s="828">
        <f t="shared" si="8"/>
        <v>0</v>
      </c>
      <c r="AC19" s="828">
        <f t="shared" si="8"/>
        <v>0</v>
      </c>
      <c r="AD19" s="829">
        <f t="shared" si="8"/>
        <v>0</v>
      </c>
      <c r="AE19" s="829">
        <f t="shared" si="8"/>
        <v>238</v>
      </c>
      <c r="AF19" s="830">
        <f t="shared" si="8"/>
        <v>0</v>
      </c>
      <c r="AG19" s="831">
        <f t="shared" si="8"/>
        <v>0</v>
      </c>
      <c r="AH19" s="832">
        <f t="shared" si="8"/>
        <v>0</v>
      </c>
      <c r="AI19" s="830">
        <f t="shared" si="8"/>
        <v>0</v>
      </c>
      <c r="AJ19" s="820">
        <f t="shared" si="8"/>
        <v>46</v>
      </c>
      <c r="AK19" s="820">
        <f t="shared" si="8"/>
        <v>80</v>
      </c>
      <c r="AL19" s="820">
        <f t="shared" si="8"/>
        <v>0</v>
      </c>
      <c r="AM19" s="833">
        <f t="shared" si="8"/>
        <v>0</v>
      </c>
      <c r="AN19" s="823">
        <f>IF(ISNUMBER(Datos!K19/Datos!J19),Datos!K19/Datos!J19," - ")</f>
        <v>1.0828402366863905</v>
      </c>
      <c r="AO19" s="823">
        <f>IF(ISNUMBER(FIND("06",Criterios!A8,1)),(IF(ISNUMBER(((Datos!R19/Datos!Q19)*11)/factor_trimestre),((Datos!R19/Datos!Q19)*11)/factor_trimestre," - ")),(IF(ISNUMBER(((Datos!L19/Datos!K19)*11)/factor_trimestre),((Datos!L19/Datos!K19)*11)/factor_trimestre," - ")))</f>
        <v>13.016393442622951</v>
      </c>
      <c r="AP19" s="834" t="str">
        <f>IF(ISNUMBER(Datos!CI19/Datos!CJ19),Datos!CI19/Datos!CJ19," - ")</f>
        <v xml:space="preserve"> - </v>
      </c>
      <c r="AQ19" s="834">
        <f>IF(OR(ISNUMBER(FIND("01",Criterios!A8,1)),ISNUMBER(FIND("02",Criterios!A8,1)),ISNUMBER(FIND("03",Criterios!A8,1)),ISNUMBER(FIND("04",Criterios!A8,1))),(J19-Y19+K19)/(F19-K19),(I19-Y19+K19)/(F19-K19))</f>
        <v>-0.28106508875739644</v>
      </c>
      <c r="AR19" s="834">
        <f>IF(ISNUMBER((Datos!P19-Datos!Q19+O19)/(Datos!R19-Datos!P19+Datos!Q19-O19)),(Datos!P19-Datos!Q19+O19)/(Datos!R19-Datos!P19+Datos!Q19-O19)," - ")</f>
        <v>3.0303030303030304E-2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195.14439098609353</v>
      </c>
      <c r="G21" s="552">
        <f>IF(ISNUMBER(STDEV(G8:G18)),STDEV(G8:G18),"-")</f>
        <v>186.90773124726542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17.918333255821164</v>
      </c>
      <c r="AK21" s="252"/>
      <c r="AL21" s="252">
        <f>IF(ISNUMBER(STDEV(AL8:AL18)),STDEV(AL8:AL18),"-")</f>
        <v>0</v>
      </c>
      <c r="AM21" s="254">
        <f>IF(ISNUMBER(STDEV(AM8:AM18)),STDEV(AM8:AM18),"-")</f>
        <v>0</v>
      </c>
      <c r="AN21" s="539">
        <f>IF(ISNUMBER(STDEV(AN8:AN18)),STDEV(AN8:AN18),"-")</f>
        <v>0</v>
      </c>
      <c r="AO21" s="540">
        <f>IF(ISNUMBER(STDEV(AO8:AO18)),STDEV(AO8:AO18),"-")</f>
        <v>18.342159647489105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FGGziEsVxa3MvZldReXmHkDvs+AwlC9HaciD25aplNeccrXXBqvJPdUOhf9/d5lcq/M6GCbDC8JaDD+PdgCUQ==" saltValue="jgi7++LLAqUhSEGsJ8Hq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6EV+0wVtXtmuuXJXDsqNiboRoVDZdln4cHFnCtOFwsCxiFNNwze/QvtSC6ne7DlR6I+JHWruaT3OC4Sk5zl2g==" saltValue="CeBA/QWMOpNPLpRwiAvV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5Aqa81A/NnfNh6+7lghlOsmMY8TO7EE4hwzgUGFtV8jpmHWhRuCWi99flpCdRHJ2dI92SIGxnOpZ8pJ7lZCPA==" saltValue="8FU7M215VjTOcaz3YwJo3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PIEDRAHITA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0.40425531914893614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0.2858516775009447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aTe5CTFu/fN7+jkPBckmSNIiNovst4ge2PE2kCfX7+LpRUyoGHxC7Se4qzpH/zAO6jaStEcNTzTaMxul1/Hlw==" saltValue="LDLz53hWZFnxIKBelxlN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7wpxIAdC0xXnfFU6GDFCllPqMKw+jiRpbAqe2NDpy0IihEs1Mz4iR5Ott1UeJMQ8TuUEP3eJ+208wxjyKRP6A==" saltValue="IzlupjrXxq4gsuKFfQYE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AVILA</v>
      </c>
      <c r="D3" s="375"/>
      <c r="E3" s="375"/>
      <c r="F3" s="375"/>
      <c r="BQ3" s="471"/>
    </row>
    <row r="4" spans="1:69" ht="13.5" thickBot="1">
      <c r="A4" s="375"/>
      <c r="B4" s="391" t="str">
        <f>Criterios!A11 &amp;"  "&amp;Criterios!B11</f>
        <v>Resumenes por Partidos Judiciales  PIEDRAHITA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505</v>
      </c>
      <c r="D12" s="404">
        <f>IF(ISNUMBER(C12/Datos!BH12),C12/Datos!BH12," - ")</f>
        <v>505</v>
      </c>
      <c r="E12" s="403">
        <f>IF(ISNUMBER(IF(J_V="SI",Datos!J12,Datos!J12+Datos!Z12)),IF(J_V="SI",Datos!J12,Datos!J12+Datos!Z12)," - ")</f>
        <v>89</v>
      </c>
      <c r="F12" s="404">
        <f>IF(ISNUMBER(E12/B12),E12/B12," - ")</f>
        <v>89</v>
      </c>
      <c r="G12" s="403">
        <f>IF(ISNUMBER(IF(J_V="SI",Datos!K12,Datos!K12+Datos!AA12)),IF(J_V="SI",Datos!K12,Datos!K12+Datos!AA12)," - ")</f>
        <v>94</v>
      </c>
      <c r="H12" s="404">
        <f>IF(ISNUMBER(G12/B12),G12/B12," - ")</f>
        <v>94</v>
      </c>
      <c r="I12" s="403">
        <f>IF(ISNUMBER(IF(J_V="SI",Datos!L12,Datos!L12+Datos!AB12)),IF(J_V="SI",Datos!L12,Datos!L12+Datos!AB12)," - ")</f>
        <v>500</v>
      </c>
      <c r="J12" s="404">
        <f>IF(ISNUMBER(I12/B12),I12/B12," - ")</f>
        <v>500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505</v>
      </c>
      <c r="D13" s="850" t="str">
        <f>IF(ISNUMBER(C13/Datos!BI13),C13/Datos!BI13," - ")</f>
        <v xml:space="preserve"> - </v>
      </c>
      <c r="E13" s="849">
        <f>SUBTOTAL(9,E8:E12)</f>
        <v>89</v>
      </c>
      <c r="F13" s="850">
        <f>IF(ISNUMBER(E13/B13),E13/B13," - ")</f>
        <v>89</v>
      </c>
      <c r="G13" s="849">
        <f>SUBTOTAL(9,G8:G12)</f>
        <v>94</v>
      </c>
      <c r="H13" s="850">
        <f>IF(ISNUMBER(G13/B13),G13/B13," - ")</f>
        <v>94</v>
      </c>
      <c r="I13" s="849">
        <f>SUBTOTAL(9,I8:I12)</f>
        <v>500</v>
      </c>
      <c r="J13" s="850">
        <f>IF(ISNUMBER(I13/B13),I13/B13," - ")</f>
        <v>500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338</v>
      </c>
      <c r="D16" s="404">
        <f>IF(ISNUMBER(C16/Datos!BH16),C16/Datos!BH16," - ")</f>
        <v>338</v>
      </c>
      <c r="E16" s="403">
        <f>IF(ISNUMBER(IF(D_I="SI",Datos!J16,Datos!J16+Datos!AD16)),IF(D_I="SI",Datos!J16,Datos!J16+Datos!AD16)," - ")</f>
        <v>88</v>
      </c>
      <c r="F16" s="404">
        <f>IF(ISNUMBER(E16/B16),E16/B16," - ")</f>
        <v>88</v>
      </c>
      <c r="G16" s="403">
        <f>IF(ISNUMBER(IF(D_I="SI",Datos!K16,Datos!K16+Datos!AE16)),IF(D_I="SI",Datos!K16,Datos!K16+Datos!AE16)," - ")</f>
        <v>94</v>
      </c>
      <c r="H16" s="404">
        <f>IF(ISNUMBER(G16/B16),G16/B16," - ")</f>
        <v>94</v>
      </c>
      <c r="I16" s="403">
        <f>IF(ISNUMBER(IF(D_I="SI",Datos!L16,Datos!L16+Datos!AF16)),IF(D_I="SI",Datos!L16,Datos!L16+Datos!AF16)," - ")</f>
        <v>332</v>
      </c>
      <c r="J16" s="404">
        <f>IF(ISNUMBER(I16/B16),I16/B16," - ")</f>
        <v>332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v>
      </c>
      <c r="D17" s="404">
        <f>IF(ISNUMBER(C17/Datos!BH17),C17/Datos!BH17," - ")</f>
        <v>17</v>
      </c>
      <c r="E17" s="403">
        <f>IF(ISNUMBER(IF(D_I="SI",Datos!J17,Datos!J17+Datos!AD17)),IF(D_I="SI",Datos!J17,Datos!J17+Datos!AD17)," - ")</f>
        <v>2</v>
      </c>
      <c r="F17" s="404">
        <f>IF(ISNUMBER(E17/B17),E17/B17," - ")</f>
        <v>2</v>
      </c>
      <c r="G17" s="403">
        <f>IF(ISNUMBER(IF(D_I="SI",Datos!K17,Datos!K17+Datos!AE17)),IF(D_I="SI",Datos!K17,Datos!K17+Datos!AE17)," - ")</f>
        <v>1</v>
      </c>
      <c r="H17" s="404">
        <f>IF(ISNUMBER(G17/B17),G17/B17," - ")</f>
        <v>1</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355</v>
      </c>
      <c r="D18" s="850" t="str">
        <f>IF(ISNUMBER(C18/Datos!BI18),C18/Datos!BI18," - ")</f>
        <v xml:space="preserve"> - </v>
      </c>
      <c r="E18" s="849">
        <f>SUBTOTAL(9,E14:E17)</f>
        <v>90</v>
      </c>
      <c r="F18" s="850">
        <f>IF(ISNUMBER(E18/B18),E18/B18," - ")</f>
        <v>90</v>
      </c>
      <c r="G18" s="849">
        <f>SUBTOTAL(9,G14:G17)</f>
        <v>95</v>
      </c>
      <c r="H18" s="850">
        <f>IF(ISNUMBER(G18/B18),G18/B18," - ")</f>
        <v>95</v>
      </c>
      <c r="I18" s="849">
        <f>SUBTOTAL(9,I14:I17)</f>
        <v>350</v>
      </c>
      <c r="J18" s="850">
        <f>IF(ISNUMBER(I18/B18),I18/B18," - ")</f>
        <v>350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860</v>
      </c>
      <c r="D19" s="795" t="str">
        <f>IF(ISNUMBER(C19/Datos!BI19),C19/Datos!BI19," - ")</f>
        <v xml:space="preserve"> - </v>
      </c>
      <c r="E19" s="794">
        <f>SUBTOTAL(9,E9:E18)</f>
        <v>179</v>
      </c>
      <c r="F19" s="795">
        <f>IF(ISNUMBER(E19/B19),E19/B19," - ")</f>
        <v>179</v>
      </c>
      <c r="G19" s="794">
        <f>SUBTOTAL(9,G9:G18)</f>
        <v>189</v>
      </c>
      <c r="H19" s="795">
        <f>IF(ISNUMBER(G19/B19),G19/B19," - ")</f>
        <v>189</v>
      </c>
      <c r="I19" s="794">
        <f>SUBTOTAL(9,I9:I18)</f>
        <v>850</v>
      </c>
      <c r="J19" s="795">
        <f>IF(ISNUMBER(I19/B19),I19/B19," - ")</f>
        <v>850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0VTVnsNIxUqaf5UYNPL+26UpoF25L8iwwUP2N91vi9cL3YpupndoeGjHXzMtTCmR6FV2Dx/6dW5NtmK+36kWw==" saltValue="tbTrdwm9XTthsKM4mWhN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AVILA  Resumenes por Partidos Judiciales  PIEDRAHITA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15.957446808510639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2.7027027027027029E-2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12</v>
      </c>
      <c r="AE13" s="939">
        <f t="shared" si="1"/>
        <v>0</v>
      </c>
      <c r="AF13" s="939">
        <f t="shared" si="1"/>
        <v>0</v>
      </c>
      <c r="AG13" s="939">
        <f t="shared" si="1"/>
        <v>0</v>
      </c>
      <c r="AH13" s="939">
        <f t="shared" si="1"/>
        <v>190</v>
      </c>
      <c r="AI13" s="939">
        <f t="shared" si="1"/>
        <v>0</v>
      </c>
      <c r="AJ13" s="939">
        <f t="shared" si="1"/>
        <v>0</v>
      </c>
      <c r="AK13" s="939">
        <f t="shared" si="1"/>
        <v>0</v>
      </c>
      <c r="AL13" s="939">
        <f t="shared" si="1"/>
        <v>38</v>
      </c>
      <c r="AM13" s="939">
        <f t="shared" si="1"/>
        <v>7</v>
      </c>
      <c r="AN13" s="939">
        <f t="shared" si="1"/>
        <v>0</v>
      </c>
      <c r="AO13" s="939">
        <f t="shared" si="1"/>
        <v>0</v>
      </c>
      <c r="AP13" s="944">
        <f>IF(ISNUMBER(((Datos!L13/Datos!K13)*11)/factor_trimestre),((Datos!L13/Datos!K13)*11)/factor_trimestre," - ")</f>
        <v>15.136363636363638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2.7027027027027029E-2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11.05263157894737</v>
      </c>
      <c r="AQ18" s="944">
        <f>IF(ISNUMBER(((Datos!M18/Datos!L18)*11)/factor_trimestre),((Datos!M18/Datos!L18)*11)/factor_trimestre," - ")</f>
        <v>6.8571428571428575E-2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4.3478260869565216E-2</v>
      </c>
      <c r="AW18" s="946">
        <f>IF(ISNUMBER((Datos!Q18-Datos!R18)/(Datos!S18-Datos!Q18+Datos!R18)),(Datos!Q18-Datos!R18)/(Datos!S18-Datos!Q18+Datos!R18)," - ")</f>
        <v>-0.15635179153094461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12</v>
      </c>
      <c r="AE19" s="957">
        <f t="shared" si="5"/>
        <v>0</v>
      </c>
      <c r="AF19" s="958">
        <f t="shared" si="5"/>
        <v>0</v>
      </c>
      <c r="AG19" s="958">
        <f t="shared" si="5"/>
        <v>0</v>
      </c>
      <c r="AH19" s="958">
        <f t="shared" si="5"/>
        <v>190</v>
      </c>
      <c r="AI19" s="958">
        <f t="shared" si="5"/>
        <v>0</v>
      </c>
      <c r="AJ19" s="959">
        <f t="shared" si="5"/>
        <v>0</v>
      </c>
      <c r="AK19" s="959">
        <f t="shared" si="5"/>
        <v>0</v>
      </c>
      <c r="AL19" s="951">
        <f t="shared" si="5"/>
        <v>38</v>
      </c>
      <c r="AM19" s="951">
        <f t="shared" si="5"/>
        <v>7</v>
      </c>
      <c r="AN19" s="951">
        <f t="shared" si="5"/>
        <v>0</v>
      </c>
      <c r="AO19" s="951">
        <f t="shared" si="5"/>
        <v>0</v>
      </c>
      <c r="AP19" s="951">
        <f>IF(ISNUMBER(((Datos!L19/Datos!K19)*11)/factor_trimestre),((Datos!L19/Datos!K19)*11)/factor_trimestre," - ")</f>
        <v>13.016393442622951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3.0303030303030304E-2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21.939310229205777</v>
      </c>
      <c r="AM21" s="736"/>
      <c r="AN21" s="736">
        <f>IF(ISNUMBER(STDEV(AN8:AN18)),STDEV(AN8:AN18),"-")</f>
        <v>0</v>
      </c>
      <c r="AO21" s="742">
        <f>IF(ISNUMBER(STDEV(AO8:AO18)),STDEV(AO8:AO18),"-")</f>
        <v>0</v>
      </c>
      <c r="AP21" s="779">
        <f>IF(ISNUMBER(STDEV(AP8:AP18)),STDEV(AP8:AP18),"-")</f>
        <v>2.6270470598661366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3WDUtRMSxvzbYQca8l7YCIxzdpEN7zyyCmC16mAck4o5QEw1NXT5PfAY8MvIW3pYK7D/5DwYTTNlNOunZdf0A==" saltValue="AWmzBr+IToXBZZIFzIq8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PIEDRAHITA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6UbxmS+tE+gvQRvhmdD3gkLL+LJXC5POaxFuA80AaZZh8AIWioluEeDunzwh+EiO26v+B9Rc5ukWCHvoa5HGA==" saltValue="vTXkLdy1bOZ4KM6E8xlE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AVILA</v>
      </c>
      <c r="C3" s="391"/>
      <c r="D3" s="425"/>
      <c r="BZ3" s="471"/>
    </row>
    <row r="4" spans="1:78" ht="13.5" thickBot="1">
      <c r="B4" s="391" t="str">
        <f>Criterios!A11 &amp;"  "&amp;Criterios!B11</f>
        <v>Resumenes por Partidos Judiciales  PIEDRAHITA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38</v>
      </c>
      <c r="E12" s="404">
        <f t="shared" si="0"/>
        <v>38</v>
      </c>
      <c r="F12" s="403">
        <f>IF(ISNUMBER(Datos!N12),Datos!N12," - ")</f>
        <v>7</v>
      </c>
      <c r="G12" s="404">
        <f t="shared" si="1"/>
        <v>7</v>
      </c>
      <c r="H12" s="403">
        <f>IF(ISNUMBER(Datos!O12),Datos!O12," - ")</f>
        <v>10</v>
      </c>
      <c r="I12" s="404">
        <f t="shared" si="2"/>
        <v>10</v>
      </c>
      <c r="BZ12" s="1186">
        <f>Datos!EZ12</f>
        <v>0</v>
      </c>
    </row>
    <row r="13" spans="1:78" ht="14.25" thickTop="1" thickBot="1">
      <c r="A13" s="848" t="str">
        <f>Datos!A13</f>
        <v>TOTAL</v>
      </c>
      <c r="B13" s="849">
        <f>Datos!AP13</f>
        <v>1</v>
      </c>
      <c r="C13" s="851">
        <f>Datos!AR13</f>
        <v>1</v>
      </c>
      <c r="D13" s="849">
        <f>SUBTOTAL(9,D9:D12)</f>
        <v>38</v>
      </c>
      <c r="E13" s="850">
        <f t="shared" si="0"/>
        <v>38</v>
      </c>
      <c r="F13" s="849">
        <f>SUBTOTAL(9,F9:F12)</f>
        <v>7</v>
      </c>
      <c r="G13" s="850">
        <f t="shared" si="1"/>
        <v>7</v>
      </c>
      <c r="H13" s="849">
        <f>SUBTOTAL(9,H9:H12)</f>
        <v>10</v>
      </c>
      <c r="I13" s="850">
        <f>IF(ISNUMBER(H13/B13),H13/B13," - ")</f>
        <v>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8</v>
      </c>
      <c r="E16" s="404">
        <f t="shared" si="3"/>
        <v>8</v>
      </c>
      <c r="F16" s="403">
        <f>IF(ISNUMBER(Datos!N16),Datos!N16," - ")</f>
        <v>71</v>
      </c>
      <c r="G16" s="404">
        <f t="shared" si="4"/>
        <v>71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8</v>
      </c>
      <c r="E18" s="850">
        <f t="shared" si="3"/>
        <v>8</v>
      </c>
      <c r="F18" s="849">
        <f>SUBTOTAL(9,F15:F17)</f>
        <v>73</v>
      </c>
      <c r="G18" s="850">
        <f t="shared" si="4"/>
        <v>73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46</v>
      </c>
      <c r="E19" s="795">
        <f>IF(ISNUMBER(D19/B19),D19/B19," - ")</f>
        <v>46</v>
      </c>
      <c r="F19" s="794">
        <f>SUBTOTAL(9,F8:F18)</f>
        <v>80</v>
      </c>
      <c r="G19" s="795">
        <f>IF(ISNUMBER(F19/B19),F19/B19," - ")</f>
        <v>80</v>
      </c>
      <c r="H19" s="794">
        <f>SUBTOTAL(9,H8:H18)</f>
        <v>10</v>
      </c>
      <c r="I19" s="795">
        <f>IF(ISNUMBER(H19/B19),H19/B19," - ")</f>
        <v>10</v>
      </c>
    </row>
    <row r="22" spans="1:78">
      <c r="A22" s="391" t="str">
        <f>Criterios!A4</f>
        <v>Fecha Informe: 24 sep. 2025</v>
      </c>
    </row>
    <row r="27" spans="1:78">
      <c r="A27" s="414"/>
    </row>
  </sheetData>
  <sheetProtection algorithmName="SHA-512" hashValue="vpA7/0QG6rhpUxdyKUUJn0JcRuWqp9BcaaoG4S37poKJ7zAZx283xaQCOmVJeQFvILy0tn+UOyukEFfwtho5og==" saltValue="KZ1d5qz9g/Jw8GbBO1fn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PIEDRAHITA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v>
      </c>
      <c r="C12" s="434">
        <f>IF(ISNUMBER(Datos!Q12),Datos!Q12," - ")</f>
        <v>12</v>
      </c>
      <c r="D12" s="408">
        <f>IF(ISNUMBER(Datos!R12),Datos!R12," - ")</f>
        <v>190</v>
      </c>
    </row>
    <row r="13" spans="1:4" ht="14.25" thickTop="1" thickBot="1">
      <c r="A13" s="848" t="str">
        <f>Datos!A13</f>
        <v>TOTAL</v>
      </c>
      <c r="B13" s="849">
        <f>SUBTOTAL(9,B9:B12)</f>
        <v>17</v>
      </c>
      <c r="C13" s="853">
        <f>SUBTOTAL(9,C9:C12)</f>
        <v>12</v>
      </c>
      <c r="D13" s="851">
        <f>SUBTOTAL(9,D9:D12)</f>
        <v>190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0</v>
      </c>
      <c r="D16" s="408">
        <f>IF(ISNUMBER(Datos!R16),Datos!R16," - ")</f>
        <v>48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0</v>
      </c>
      <c r="D18" s="851">
        <f>SUBTOTAL(9,D15:D17)</f>
        <v>48</v>
      </c>
    </row>
    <row r="19" spans="1:4" ht="16.5" customHeight="1" thickTop="1" thickBot="1">
      <c r="A19" s="793" t="str">
        <f>Datos!A19</f>
        <v>TOTAL JURISDICCIONES</v>
      </c>
      <c r="B19" s="798">
        <f>SUBTOTAL(9,B8:B18)</f>
        <v>19</v>
      </c>
      <c r="C19" s="799">
        <f>SUBTOTAL(9,C8:C18)</f>
        <v>12</v>
      </c>
      <c r="D19" s="800">
        <f>SUBTOTAL(9,D8:D18)</f>
        <v>238</v>
      </c>
    </row>
    <row r="20" spans="1:4" ht="7.5" customHeight="1"/>
    <row r="21" spans="1:4" ht="6" customHeight="1"/>
    <row r="22" spans="1:4">
      <c r="A22" s="391" t="str">
        <f>Criterios!A4</f>
        <v>Fecha Informe: 24 sep. 2025</v>
      </c>
    </row>
    <row r="27" spans="1:4">
      <c r="A27" s="414"/>
    </row>
  </sheetData>
  <sheetProtection algorithmName="SHA-512" hashValue="R6Qae+DLjgfKsbzd7iYnrzM8hQf2keKsZH+eS7cZ1uW5i81EVZ2vrb7u5xqX10XDRpG6wBbO5QKN2xQ3DdzWLw==" saltValue="RS93mAm3V5fDvVWRUeNZ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PIEDRAHITA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3.9094650205761319E-2</v>
      </c>
      <c r="C12" s="456">
        <f>IF(ISNUMBER(
   IF(J_V="SI",(Datos!J12-Datos!T12)/Datos!T12,(Datos!J12+Datos!Z12-(Datos!T12+Datos!AH12))/(Datos!T12+Datos!AH12))
     ),IF(J_V="SI",(Datos!J12-Datos!T12)/Datos!T12,(Datos!J12+Datos!Z12-(Datos!T12+Datos!AH12))/(Datos!T12+Datos!AH12))," - ")</f>
        <v>-0.10101010101010101</v>
      </c>
      <c r="D12" s="456">
        <f>IF(ISNUMBER(
   IF(J_V="SI",(Datos!K12-Datos!U12)/Datos!U12,(Datos!K12+Datos!AA12-(Datos!U12+Datos!AI12))/(Datos!U12+Datos!AI12))
     ),IF(J_V="SI",(Datos!K12-Datos!U12)/Datos!U12,(Datos!K12+Datos!AA12-(Datos!U12+Datos!AI12))/(Datos!U12+Datos!AI12))," - ")</f>
        <v>-0.10476190476190476</v>
      </c>
      <c r="E12" s="456">
        <f>IF(ISNUMBER(
   IF(J_V="SI",(Datos!L12-Datos!V12)/Datos!V12,(Datos!L12+Datos!AB12-(Datos!V12+Datos!AJ12))/(Datos!V12+Datos!AJ12))
     ),IF(J_V="SI",(Datos!L12-Datos!V12)/Datos!V12,(Datos!L12+Datos!AB12-(Datos!V12+Datos!AJ12))/(Datos!V12+Datos!AJ12))," - ")</f>
        <v>4.1666666666666664E-2</v>
      </c>
      <c r="F12" s="456">
        <f>IF(ISNUMBER((Datos!M12-Datos!W12)/Datos!W12),(Datos!M12-Datos!W12)/Datos!W12," - ")</f>
        <v>0.1875</v>
      </c>
      <c r="G12" s="457">
        <f>IF(ISNUMBER((Datos!N12-Datos!X12)/Datos!X12),(Datos!N12-Datos!X12)/Datos!X12," - ")</f>
        <v>-0.79411764705882348</v>
      </c>
      <c r="H12" s="455">
        <f>IF(ISNUMBER(((NºAsuntos!G12/NºAsuntos!E12)-Datos!BD12)/Datos!BD12),((NºAsuntos!G12/NºAsuntos!E12)-Datos!BD12)/Datos!BD12," - ")</f>
        <v>-4.1733547351525176E-3</v>
      </c>
      <c r="I12" s="456">
        <f>IF(ISNUMBER(((NºAsuntos!I12/NºAsuntos!G12)-Datos!BE12)/Datos!BE12),((NºAsuntos!I12/NºAsuntos!G12)-Datos!BE12)/Datos!BE12," - ")</f>
        <v>0.16356382978723408</v>
      </c>
      <c r="J12" s="461">
        <f>IF(ISNUMBER((('Resol  Asuntos'!D12/NºAsuntos!G12)-Datos!BF12)/Datos!BF12),(('Resol  Asuntos'!D12/NºAsuntos!G12)-Datos!BF12)/Datos!BF12," - ")</f>
        <v>0.24843554443053803</v>
      </c>
      <c r="K12" s="462">
        <f>IF(ISNUMBER((((NºAsuntos!C12+NºAsuntos!E12)/NºAsuntos!G12)-Datos!BG12)/Datos!BG12),(((NºAsuntos!C12+NºAsuntos!E12)/NºAsuntos!G12)-Datos!BG12)/Datos!BG12," - ")</f>
        <v>0.13420621931260232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3.6960985626283367E-2</v>
      </c>
      <c r="C13" s="855">
        <f>IF(ISNUMBER(
   IF(J_V="SI",(Datos!J13-Datos!T13)/Datos!T13,(Datos!J13+Datos!Z13-(Datos!T13+Datos!AH13))/(Datos!T13+Datos!AH13))
     ),IF(J_V="SI",(Datos!J13-Datos!T13)/Datos!T13,(Datos!J13+Datos!Z13-(Datos!T13+Datos!AH13))/(Datos!T13+Datos!AH13))," - ")</f>
        <v>-0.10101010101010101</v>
      </c>
      <c r="D13" s="855">
        <f>IF(ISNUMBER(
   IF(J_V="SI",(Datos!K13-Datos!U13)/Datos!U13,(Datos!K13+Datos!AA13-(Datos!U13+Datos!AI13))/(Datos!U13+Datos!AI13))
     ),IF(J_V="SI",(Datos!K13-Datos!U13)/Datos!U13,(Datos!K13+Datos!AA13-(Datos!U13+Datos!AI13))/(Datos!U13+Datos!AI13))," - ")</f>
        <v>-0.10476190476190476</v>
      </c>
      <c r="E13" s="855">
        <f>IF(ISNUMBER(
   IF(J_V="SI",(Datos!L13-Datos!V13)/Datos!V13,(Datos!L13+Datos!AB13-(Datos!V13+Datos!AJ13))/(Datos!V13+Datos!AJ13))
     ),IF(J_V="SI",(Datos!L13-Datos!V13)/Datos!V13,(Datos!L13+Datos!AB13-(Datos!V13+Datos!AJ13))/(Datos!V13+Datos!AJ13))," - ")</f>
        <v>3.9501039501039503E-2</v>
      </c>
      <c r="F13" s="856">
        <f>IF(ISNUMBER((Datos!M13-Datos!W13)/Datos!W13),(Datos!M13-Datos!W13)/Datos!W13," - ")</f>
        <v>0.1875</v>
      </c>
      <c r="G13" s="857">
        <f>IF(ISNUMBER((Datos!N13-Datos!X13)/Datos!X13),(Datos!N13-Datos!X13)/Datos!X13," - ")</f>
        <v>-0.79411764705882348</v>
      </c>
      <c r="H13" s="857">
        <f>IF(ISNUMBER(((NºAsuntos!G13/NºAsuntos!E13)-Datos!BD13)/Datos!BD13),((NºAsuntos!G13/NºAsuntos!E13)-Datos!BD13)/Datos!BD13," - ")</f>
        <v>-4.1733547351525176E-3</v>
      </c>
      <c r="I13" s="857">
        <f>IF(ISNUMBER(((NºAsuntos!I13/NºAsuntos!G13)-Datos!BE13)/Datos!BE13),((NºAsuntos!I13/NºAsuntos!G13)-Datos!BE13)/Datos!BE13," - ")</f>
        <v>0.16114477816605483</v>
      </c>
      <c r="J13" s="857">
        <f>IF(ISNUMBER((('Resol  Asuntos'!D13/NºAsuntos!G13)-Datos!BF13)/Datos!BF13),(('Resol  Asuntos'!D13/NºAsuntos!G13)-Datos!BF13)/Datos!BF13," - ")</f>
        <v>0.24843554443053803</v>
      </c>
      <c r="K13" s="857">
        <f>IF(ISNUMBER((((NºAsuntos!C13+NºAsuntos!E13)/NºAsuntos!G13)-Datos!BG13)/Datos!BG13),(((NºAsuntos!C13+NºAsuntos!E13)/NºAsuntos!G13)-Datos!BG13)/Datos!BG13," - ")</f>
        <v>0.13227071381889483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0.38524590163934425</v>
      </c>
      <c r="C16" s="456">
        <f>IF(ISNUMBER(
   IF(D_I="SI",(Datos!J16-Datos!T16)/Datos!T16,(Datos!J16+Datos!AD16-(Datos!T16+Datos!AL16))/(Datos!T16+Datos!AL16))
     ),IF(D_I="SI",(Datos!J16-Datos!T16)/Datos!T16,(Datos!J16+Datos!AD16-(Datos!T16+Datos!AL16))/(Datos!T16+Datos!AL16))," - ")</f>
        <v>-4.3478260869565216E-2</v>
      </c>
      <c r="D16" s="456">
        <f>IF(ISNUMBER(
   IF(D_I="SI",(Datos!K16-Datos!U16)/Datos!U16,(Datos!K16+Datos!AE16-(Datos!U16+Datos!AM16))/(Datos!U16+Datos!AM16))
     ),IF(D_I="SI",(Datos!K16-Datos!U16)/Datos!U16,(Datos!K16+Datos!AE16-(Datos!U16+Datos!AM16))/(Datos!U16+Datos!AM16))," - ")</f>
        <v>0.40298507462686567</v>
      </c>
      <c r="E16" s="456">
        <f>IF(ISNUMBER(
   IF(D_I="SI",(Datos!L16-Datos!V16)/Datos!V16,(Datos!L16+Datos!AF16-(Datos!V16+Datos!AN16))/(Datos!V16+Datos!AN16))
     ),IF(D_I="SI",(Datos!L16-Datos!V16)/Datos!V16,(Datos!L16+Datos!AF16-(Datos!V16+Datos!AN16))/(Datos!V16+Datos!AN16))," - ")</f>
        <v>0.22509225092250923</v>
      </c>
      <c r="F16" s="456">
        <f>IF(ISNUMBER((Datos!M16-Datos!W16)/Datos!W16),(Datos!M16-Datos!W16)/Datos!W16," - ")</f>
        <v>0</v>
      </c>
      <c r="G16" s="457">
        <f>IF(ISNUMBER((Datos!N16-Datos!X16)/Datos!X16),(Datos!N16-Datos!X16)/Datos!X16," - ")</f>
        <v>0.39215686274509803</v>
      </c>
      <c r="H16" s="455">
        <f>IF(ISNUMBER(((NºAsuntos!G16/NºAsuntos!E16)-Datos!BD16)/Datos!BD16),((NºAsuntos!G16/NºAsuntos!E16)-Datos!BD16)/Datos!BD16," - ")</f>
        <v>0.46675712347354126</v>
      </c>
      <c r="I16" s="456">
        <f>IF(ISNUMBER(((NºAsuntos!I16/NºAsuntos!G16)-Datos!BE16)/Datos!BE16),((NºAsuntos!I16/NºAsuntos!G16)-Datos!BE16)/Datos!BE16," - ")</f>
        <v>-0.12679594881055192</v>
      </c>
      <c r="J16" s="461">
        <f>IF(ISNUMBER((('Resol  Asuntos'!D16/NºAsuntos!G16)-Datos!BF16)/Datos!BF16),(('Resol  Asuntos'!D16/NºAsuntos!G16)-Datos!BF16)/Datos!BF16," - ")</f>
        <v>-0.28723404255319152</v>
      </c>
      <c r="K16" s="462">
        <f>IF(ISNUMBER((((NºAsuntos!C16+NºAsuntos!E16)/NºAsuntos!G16)-Datos!BG16)/Datos!BG16),(((NºAsuntos!C16+NºAsuntos!E16)/NºAsuntos!G16)-Datos!BG16)/Datos!BG16," - ")</f>
        <v>-9.6314589665653455E-2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0.13333333333333333</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0.2</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-0.5</v>
      </c>
      <c r="I17" s="456">
        <f>IF(ISNUMBER(((NºAsuntos!I17/NºAsuntos!G17)-Datos!BE17)/Datos!BE17),((NºAsuntos!I17/NºAsuntos!G17)-Datos!BE17)/Datos!BE17," - ")</f>
        <v>2.6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2.1666666666666665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0.37065637065637064</v>
      </c>
      <c r="C18" s="855">
        <f>IF(ISNUMBER(
   IF(Criterios!B14="SI",(Datos!J18-Datos!T18)/Datos!T18,(Datos!J18+Datos!AD18-(Datos!T18+Datos!AL18))/(Datos!T18+Datos!AL18))
     ),IF(Criterios!B14="SI",(Datos!J18-Datos!T18)/Datos!T18,(Datos!J18+Datos!AD18-(Datos!T18+Datos!AL18))/(Datos!T18+Datos!AL18))," - ")</f>
        <v>-5.2631578947368418E-2</v>
      </c>
      <c r="D18" s="855">
        <f>IF(ISNUMBER(
   IF(Criterios!B14="SI",(Datos!K18-Datos!U18)/Datos!U18,(Datos!K18+Datos!AE18-(Datos!U18+Datos!AM18))/(Datos!U18+Datos!AM18))
     ),IF(Criterios!B14="SI",(Datos!K18-Datos!U18)/Datos!U18,(Datos!K18+Datos!AE18-(Datos!U18+Datos!AM18))/(Datos!U18+Datos!AM18))," - ")</f>
        <v>0.35714285714285715</v>
      </c>
      <c r="E18" s="855">
        <f>IF(ISNUMBER(
   IF(Criterios!B14="SI",(Datos!L18-Datos!V18)/Datos!V18,(Datos!L18+Datos!AF18-(Datos!V18+Datos!AN18))/(Datos!V18+Datos!AN18))
     ),IF(Criterios!B14="SI",(Datos!L18-Datos!V18)/Datos!V18,(Datos!L18+Datos!AF18-(Datos!V18+Datos!AN18))/(Datos!V18+Datos!AN18))," - ")</f>
        <v>0.22377622377622378</v>
      </c>
      <c r="F18" s="856">
        <f>IF(ISNUMBER((Datos!M18-Datos!W18)/Datos!W18),(Datos!M18-Datos!W18)/Datos!W18," - ")</f>
        <v>0</v>
      </c>
      <c r="G18" s="857">
        <f>IF(ISNUMBER((Datos!N18-Datos!X18)/Datos!X18),(Datos!N18-Datos!X18)/Datos!X18," - ")</f>
        <v>0.37735849056603776</v>
      </c>
      <c r="H18" s="857">
        <f>IF(ISNUMBER(((NºAsuntos!G18/NºAsuntos!E18)-Datos!BD18)/Datos!BD18),((NºAsuntos!G18/NºAsuntos!E18)-Datos!BD18)/Datos!BD18," - ")</f>
        <v>0.43253968253968267</v>
      </c>
      <c r="I18" s="857">
        <f>IF(ISNUMBER(((NºAsuntos!I18/NºAsuntos!G18)-Datos!BE18)/Datos!BE18),((NºAsuntos!I18/NºAsuntos!G18)-Datos!BE18)/Datos!BE18," - ")</f>
        <v>-9.8270150901729802E-2</v>
      </c>
      <c r="J18" s="857">
        <f>IF(ISNUMBER((('Resol  Asuntos'!D18/NºAsuntos!G18)-Datos!BF18)/Datos!BF18),(('Resol  Asuntos'!D18/NºAsuntos!G18)-Datos!BF18)/Datos!BF18," - ")</f>
        <v>-0.26315789473684209</v>
      </c>
      <c r="K18" s="857">
        <f>IF(ISNUMBER((((NºAsuntos!C18+NºAsuntos!E18)/NºAsuntos!G18)-Datos!BG18)/Datos!BG18),(((NºAsuntos!C18+NºAsuntos!E18)/NºAsuntos!G18)-Datos!BG18)/Datos!BG18," - ")</f>
        <v>-7.3743681236990766E-2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0.15281501340482573</v>
      </c>
      <c r="C19" s="802">
        <f>IF(ISNUMBER(
   IF(J_V="SI",(Datos!J19-Datos!T19)/Datos!T19,(Datos!J19+Datos!Z19-(Datos!T19+Datos!AH19))/(Datos!T19+Datos!AH19))
     ),IF(J_V="SI",(Datos!J19-Datos!T19)/Datos!T19,(Datos!J19+Datos!Z19-(Datos!T19+Datos!AH19))/(Datos!T19+Datos!AH19))," - ")</f>
        <v>-7.7319587628865982E-2</v>
      </c>
      <c r="D19" s="802">
        <f>IF(ISNUMBER(
   IF(J_V="SI",(Datos!K19-Datos!U19)/Datos!U19,(Datos!K19+Datos!AA19-(Datos!U19+Datos!AI19))/(Datos!U19+Datos!AI19))
     ),IF(J_V="SI",(Datos!K19-Datos!U19)/Datos!U19,(Datos!K19+Datos!AA19-(Datos!U19+Datos!AI19))/(Datos!U19+Datos!AI19))," - ")</f>
        <v>0.08</v>
      </c>
      <c r="E19" s="802">
        <f>IF(ISNUMBER(
   IF(J_V="SI",(Datos!L19-Datos!V19)/Datos!V19,(Datos!L19+Datos!AB19-(Datos!V19+Datos!AJ19))/(Datos!V19+Datos!AJ19))
     ),IF(J_V="SI",(Datos!L19-Datos!V19)/Datos!V19,(Datos!L19+Datos!AB19-(Datos!V19+Datos!AJ19))/(Datos!V19+Datos!AJ19))," - ")</f>
        <v>0.10821382007822686</v>
      </c>
      <c r="F19" s="803">
        <f>IF(ISNUMBER((Datos!M19-Datos!W19)/Datos!W19),(Datos!M19-Datos!W19)/Datos!W19," - ")</f>
        <v>0.15</v>
      </c>
      <c r="G19" s="804">
        <f>IF(ISNUMBER((Datos!N19-Datos!X19)/Datos!X19),(Datos!N19-Datos!X19)/Datos!X19," - ")</f>
        <v>-8.0459770114942528E-2</v>
      </c>
      <c r="H19" s="805">
        <f>IF(ISNUMBER((Tasas!B19-Datos!BD19)/Datos!BD19),(Tasas!B19-Datos!BD19)/Datos!BD19," - ")</f>
        <v>0.17050279329608942</v>
      </c>
      <c r="I19" s="806">
        <f>IF(ISNUMBER((Tasas!C19-Datos!BE19)/Datos!BE19),(Tasas!C19-Datos!BE19)/Datos!BE19," - ")</f>
        <v>2.6123907479839822E-2</v>
      </c>
      <c r="J19" s="807">
        <f>IF(ISNUMBER((Tasas!D19-Datos!BF19)/Datos!BF19),(Tasas!D19-Datos!BF19)/Datos!BF19," - ")</f>
        <v>1.4109347442680758E-2</v>
      </c>
      <c r="K19" s="807">
        <f>IF(ISNUMBER((Tasas!E19-Datos!BG19)/Datos!BG19),(Tasas!E19-Datos!BG19)/Datos!BG19," - ")</f>
        <v>2.3443656422379965E-2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HhYIU1QLQPDuNs2fI1DWI3EeFo+RlI521sYVo3/aZaNx32HsrI86UivWAEyzc+HO1l4cgQpH6oR28CIgmFIIA==" saltValue="Rw8eNCok7FCJjLpMbXpo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PIEDRAHITA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1.0561797752808988</v>
      </c>
      <c r="C12" s="443">
        <f>IF(ISNUMBER(NºAsuntos!I12/NºAsuntos!G12),NºAsuntos!I12/NºAsuntos!G12," - ")</f>
        <v>5.3191489361702127</v>
      </c>
      <c r="D12" s="444">
        <f>IF(ISNUMBER('Resol  Asuntos'!D12/NºAsuntos!G12),'Resol  Asuntos'!D12/NºAsuntos!G12," - ")</f>
        <v>0.40425531914893614</v>
      </c>
      <c r="E12" s="445">
        <f>IF(ISNUMBER((NºAsuntos!C12+NºAsuntos!E12)/NºAsuntos!G12),(NºAsuntos!C12+NºAsuntos!E12)/NºAsuntos!G12," - ")</f>
        <v>6.3191489361702127</v>
      </c>
      <c r="G12" s="463"/>
    </row>
    <row r="13" spans="1:7" ht="14.25" thickTop="1" thickBot="1">
      <c r="A13" s="848" t="str">
        <f>Datos!A13</f>
        <v>TOTAL</v>
      </c>
      <c r="B13" s="858">
        <f>IF(ISNUMBER(NºAsuntos!G13/NºAsuntos!E13),NºAsuntos!G13/NºAsuntos!E13," - ")</f>
        <v>1.0561797752808988</v>
      </c>
      <c r="C13" s="859">
        <f>IF(ISNUMBER(NºAsuntos!I13/NºAsuntos!G13),NºAsuntos!I13/NºAsuntos!G13," - ")</f>
        <v>5.3191489361702127</v>
      </c>
      <c r="D13" s="860">
        <f>IF(ISNUMBER('Resol  Asuntos'!D13/NºAsuntos!G13),'Resol  Asuntos'!D13/NºAsuntos!G13," - ")</f>
        <v>0.40425531914893614</v>
      </c>
      <c r="E13" s="861">
        <f>IF(ISNUMBER((NºAsuntos!C13+NºAsuntos!E13)/NºAsuntos!G13),(NºAsuntos!C13+NºAsuntos!E13)/NºAsuntos!G13," - ")</f>
        <v>6.3191489361702127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1.0681818181818181</v>
      </c>
      <c r="C16" s="443">
        <f>IF(ISNUMBER(NºAsuntos!I16/NºAsuntos!G16),NºAsuntos!I16/NºAsuntos!G16," - ")</f>
        <v>3.5319148936170213</v>
      </c>
      <c r="D16" s="444">
        <f>IF(ISNUMBER('Resol  Asuntos'!D16/NºAsuntos!G16),'Resol  Asuntos'!D16/NºAsuntos!G16," - ")</f>
        <v>8.5106382978723402E-2</v>
      </c>
      <c r="E16" s="445">
        <f>IF(ISNUMBER((NºAsuntos!C16+NºAsuntos!E16)/NºAsuntos!G16),(NºAsuntos!C16+NºAsuntos!E16)/NºAsuntos!G16," - ")</f>
        <v>4.5319148936170217</v>
      </c>
      <c r="G16" s="463"/>
    </row>
    <row r="17" spans="1:7" ht="13.5" thickBot="1">
      <c r="A17" s="402" t="str">
        <f>Datos!A17</f>
        <v>Jdos. Violencia contra la mujer</v>
      </c>
      <c r="B17" s="442">
        <f>IF(ISNUMBER(NºAsuntos!G17/NºAsuntos!E17),NºAsuntos!G17/NºAsuntos!E17," - ")</f>
        <v>0.5</v>
      </c>
      <c r="C17" s="443">
        <f>IF(ISNUMBER(NºAsuntos!I17/NºAsuntos!G17),NºAsuntos!I17/NºAsuntos!G17," - ")</f>
        <v>18</v>
      </c>
      <c r="D17" s="444">
        <f>IF(ISNUMBER('Resol  Asuntos'!D17/NºAsuntos!G17),'Resol  Asuntos'!D17/NºAsuntos!G17," - ")</f>
        <v>0</v>
      </c>
      <c r="E17" s="445">
        <f>IF(ISNUMBER((NºAsuntos!C17+NºAsuntos!E17)/NºAsuntos!G17),(NºAsuntos!C17+NºAsuntos!E17)/NºAsuntos!G17," - ")</f>
        <v>19</v>
      </c>
      <c r="G17" s="463"/>
    </row>
    <row r="18" spans="1:7" ht="14.25" thickTop="1" thickBot="1">
      <c r="A18" s="848" t="str">
        <f>Datos!A18</f>
        <v>TOTAL</v>
      </c>
      <c r="B18" s="858">
        <f>IF(ISNUMBER(NºAsuntos!G18/NºAsuntos!E18),NºAsuntos!G18/NºAsuntos!E18," - ")</f>
        <v>1.0555555555555556</v>
      </c>
      <c r="C18" s="859">
        <f>IF(ISNUMBER(NºAsuntos!I18/NºAsuntos!G18),NºAsuntos!I18/NºAsuntos!G18," - ")</f>
        <v>3.6842105263157894</v>
      </c>
      <c r="D18" s="862">
        <f>IF(ISNUMBER('Resol  Asuntos'!D18/NºAsuntos!G18),'Resol  Asuntos'!D18/NºAsuntos!G18," - ")</f>
        <v>8.4210526315789472E-2</v>
      </c>
      <c r="E18" s="861">
        <f>IF(ISNUMBER((NºAsuntos!C18+NºAsuntos!E18)/NºAsuntos!G18),(NºAsuntos!C18+NºAsuntos!E18)/NºAsuntos!G18," - ")</f>
        <v>4.6842105263157894</v>
      </c>
      <c r="G18" s="463"/>
    </row>
    <row r="19" spans="1:7" ht="15.75" customHeight="1" thickTop="1" thickBot="1">
      <c r="A19" s="793" t="str">
        <f>Datos!A19</f>
        <v>TOTAL JURISDICCIONES</v>
      </c>
      <c r="B19" s="808">
        <f>IF(ISNUMBER(NºAsuntos!G19/NºAsuntos!E19),NºAsuntos!G19/NºAsuntos!E19," - ")</f>
        <v>1.0558659217877095</v>
      </c>
      <c r="C19" s="809">
        <f>IF(ISNUMBER(NºAsuntos!I19/NºAsuntos!G19),NºAsuntos!I19/NºAsuntos!G19," - ")</f>
        <v>4.4973544973544977</v>
      </c>
      <c r="D19" s="810">
        <f>IF(ISNUMBER('Resol  Asuntos'!D19/NºAsuntos!G19),'Resol  Asuntos'!D19/NºAsuntos!G19," - ")</f>
        <v>0.24338624338624337</v>
      </c>
      <c r="E19" s="811">
        <f>IF(ISNUMBER((NºAsuntos!C19+NºAsuntos!E19)/NºAsuntos!G19),(NºAsuntos!C19+NºAsuntos!E19)/NºAsuntos!G19," - ")</f>
        <v>5.4973544973544977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GVaxWH9pFiObTrOeIXKCsSR15Wyl1iY+qyQULV2tBLw7u64AMOsOnVs4LG61LujKQkdTDvwPs3e9pFjOOjjYA==" saltValue="jN3v/hwzXBJKnot6jMl/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PIEDRAHITA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v>
      </c>
      <c r="Y12" s="334">
        <f t="shared" si="0"/>
        <v>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1.0561797752808988</v>
      </c>
      <c r="AM12" s="260">
        <f>IF(ISNUMBER(((NºAsuntos!I12/NºAsuntos!G12)*11)/factor_trimestre),((NºAsuntos!I12/NºAsuntos!G12)*11)/factor_trimestre," - ")</f>
        <v>15.957446808510639</v>
      </c>
      <c r="AN12" s="244">
        <f>IF(ISNUMBER('Resol  Asuntos'!D12/NºAsuntos!G12),'Resol  Asuntos'!D12/NºAsuntos!G12," - ")</f>
        <v>0.40425531914893614</v>
      </c>
      <c r="AO12" s="245">
        <f>IF(ISNUMBER((NºAsuntos!C12+NºAsuntos!E12)/NºAsuntos!G12),(NºAsuntos!C12+NºAsuntos!E12)/NºAsuntos!G12," - ")</f>
        <v>6.3191489361702127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12</v>
      </c>
      <c r="Y13" s="868">
        <f t="shared" si="4"/>
        <v>12</v>
      </c>
      <c r="Z13" s="868">
        <f t="shared" si="4"/>
        <v>0</v>
      </c>
      <c r="AA13" s="868">
        <f t="shared" si="4"/>
        <v>0</v>
      </c>
      <c r="AB13" s="868">
        <f t="shared" si="4"/>
        <v>190</v>
      </c>
      <c r="AC13" s="868">
        <f t="shared" si="4"/>
        <v>0</v>
      </c>
      <c r="AD13" s="868">
        <f t="shared" si="4"/>
        <v>0</v>
      </c>
      <c r="AE13" s="872">
        <f t="shared" si="4"/>
        <v>0</v>
      </c>
      <c r="AF13" s="865">
        <f t="shared" si="4"/>
        <v>0</v>
      </c>
      <c r="AG13" s="873">
        <f t="shared" si="4"/>
        <v>0</v>
      </c>
      <c r="AH13" s="870">
        <f t="shared" si="4"/>
        <v>0</v>
      </c>
      <c r="AI13" s="865">
        <f t="shared" si="4"/>
        <v>38</v>
      </c>
      <c r="AJ13" s="867">
        <f t="shared" si="4"/>
        <v>0</v>
      </c>
      <c r="AK13" s="870">
        <f>SUBTOTAL(9,AK9:AK12)</f>
        <v>0</v>
      </c>
      <c r="AL13" s="874">
        <f>IF(ISNUMBER(NºAsuntos!G13/NºAsuntos!E13),NºAsuntos!G13/NºAsuntos!E13," - ")</f>
        <v>1.0561797752808988</v>
      </c>
      <c r="AM13" s="874">
        <f>IF(ISNUMBER(((NºAsuntos!I13/NºAsuntos!G13)*11)/factor_trimestre),((NºAsuntos!I13/NºAsuntos!G13)*11)/factor_trimestre," - ")</f>
        <v>15.957446808510639</v>
      </c>
      <c r="AN13" s="875">
        <f>IF(ISNUMBER('Resol  Asuntos'!D13/NºAsuntos!G13),'Resol  Asuntos'!D13/NºAsuntos!G13," - ")</f>
        <v>0.40425531914893614</v>
      </c>
      <c r="AO13" s="876">
        <f>IF(ISNUMBER((NºAsuntos!C13+NºAsuntos!E13)/NºAsuntos!G13),(NºAsuntos!C13+NºAsuntos!E13)/NºAsuntos!G13," - ")</f>
        <v>6.3191489361702127</v>
      </c>
      <c r="AP13" s="877" t="str">
        <f t="shared" si="2"/>
        <v xml:space="preserve"> - </v>
      </c>
      <c r="AQ13" s="877" t="str">
        <f>IF(ISNUMBER((H13-W13+K13)/(F13)),(H13-W13+K13)/(F13)," - ")</f>
        <v xml:space="preserve"> - </v>
      </c>
      <c r="AR13" s="878">
        <f>IF(ISNUMBER((Datos!P13-Datos!Q13)/(Datos!R13-Datos!P13+Datos!Q13)),(Datos!P13-Datos!Q13)/(Datos!R13-Datos!P13+Datos!Q13)," - ")</f>
        <v>2.7027027027027029E-2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338</v>
      </c>
      <c r="G16" s="333">
        <f>IF(ISNUMBER(IF(D_I="SI",Datos!I16,Datos!I16+Datos!AC16)),IF(D_I="SI",Datos!I16,Datos!I16+Datos!AC16)," - ")</f>
        <v>338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94</v>
      </c>
      <c r="X16" s="226">
        <f>IF(ISNUMBER(Datos!Q16),Datos!Q16," - ")</f>
        <v>0</v>
      </c>
      <c r="Y16" s="334">
        <f t="shared" ref="Y16:Y17" si="7">SUM(W16:X16)</f>
        <v>94</v>
      </c>
      <c r="Z16" s="335" t="str">
        <f>IF(ISNUMBER(Datos!CC16),Datos!CC16," - ")</f>
        <v xml:space="preserve"> - </v>
      </c>
      <c r="AA16" s="332">
        <f>IF(ISNUMBER(IF(D_I="SI",Datos!L16,Datos!L16+Datos!AF16)),IF(D_I="SI",Datos!L16,Datos!L16+Datos!AF16)," - ")</f>
        <v>332</v>
      </c>
      <c r="AB16" s="334">
        <f>IF(ISNUMBER(Datos!R16),Datos!R16," - ")</f>
        <v>48</v>
      </c>
      <c r="AC16" s="334">
        <f t="shared" si="6"/>
        <v>380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v>
      </c>
      <c r="AJ16" s="231" t="str">
        <f>IF(ISNUMBER(Datos!BW16),Datos!BW16," - ")</f>
        <v xml:space="preserve"> - </v>
      </c>
      <c r="AK16" s="232" t="str">
        <f>IF(ISNUMBER(Datos!BX16),Datos!BX16," - ")</f>
        <v xml:space="preserve"> - </v>
      </c>
      <c r="AL16" s="243">
        <f>IF(ISNUMBER(NºAsuntos!G16/NºAsuntos!E16),NºAsuntos!G16/NºAsuntos!E16," - ")</f>
        <v>1.0681818181818181</v>
      </c>
      <c r="AM16" s="260">
        <f>IF(ISNUMBER(((NºAsuntos!I16/NºAsuntos!G16)*11)/factor_trimestre),((NºAsuntos!I16/NºAsuntos!G16)*11)/factor_trimestre," - ")</f>
        <v>10.595744680851064</v>
      </c>
      <c r="AN16" s="244">
        <f>IF(ISNUMBER('Resol  Asuntos'!D16/NºAsuntos!G16),'Resol  Asuntos'!D16/NºAsuntos!G16," - ")</f>
        <v>8.5106382978723402E-2</v>
      </c>
      <c r="AO16" s="245">
        <f>IF(ISNUMBER((NºAsuntos!C16+NºAsuntos!E16)/NºAsuntos!G16),(NºAsuntos!C16+NºAsuntos!E16)/NºAsuntos!G16," - ")</f>
        <v>4.5319148936170217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0.5</v>
      </c>
      <c r="AM17" s="260">
        <f>IF(ISNUMBER(((NºAsuntos!I17/NºAsuntos!G17)*11)/factor_trimestre),((NºAsuntos!I17/NºAsuntos!G17)*11)/factor_trimestre," - ")</f>
        <v>54</v>
      </c>
      <c r="AN17" s="244">
        <f>IF(ISNUMBER('Resol  Asuntos'!D17/NºAsuntos!G17),'Resol  Asuntos'!D17/NºAsuntos!G17," - ")</f>
        <v>0</v>
      </c>
      <c r="AO17" s="245">
        <f>IF(ISNUMBER((NºAsuntos!C17+NºAsuntos!E17)/NºAsuntos!G17),(NºAsuntos!C17+NºAsuntos!E17)/NºAsuntos!G17," - ")</f>
        <v>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338</v>
      </c>
      <c r="G18" s="866">
        <f>SUBTOTAL(9,G15:G17)</f>
        <v>355</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95</v>
      </c>
      <c r="X18" s="867">
        <f t="shared" si="11"/>
        <v>0</v>
      </c>
      <c r="Y18" s="868">
        <f t="shared" si="11"/>
        <v>95</v>
      </c>
      <c r="Z18" s="868">
        <f t="shared" si="11"/>
        <v>0</v>
      </c>
      <c r="AA18" s="868">
        <f t="shared" si="11"/>
        <v>350</v>
      </c>
      <c r="AB18" s="868">
        <f t="shared" si="11"/>
        <v>48</v>
      </c>
      <c r="AC18" s="868">
        <f t="shared" si="11"/>
        <v>398</v>
      </c>
      <c r="AD18" s="868">
        <f t="shared" si="11"/>
        <v>0</v>
      </c>
      <c r="AE18" s="872">
        <f t="shared" si="11"/>
        <v>0</v>
      </c>
      <c r="AF18" s="865">
        <f t="shared" si="11"/>
        <v>0</v>
      </c>
      <c r="AG18" s="873">
        <f t="shared" si="11"/>
        <v>0</v>
      </c>
      <c r="AH18" s="870">
        <f t="shared" si="11"/>
        <v>0</v>
      </c>
      <c r="AI18" s="865">
        <f t="shared" si="11"/>
        <v>8</v>
      </c>
      <c r="AJ18" s="867">
        <f t="shared" si="11"/>
        <v>0</v>
      </c>
      <c r="AK18" s="870">
        <f t="shared" si="11"/>
        <v>0</v>
      </c>
      <c r="AL18" s="874">
        <f>IF(ISNUMBER(NºAsuntos!G18/NºAsuntos!E18),NºAsuntos!G18/NºAsuntos!E18," - ")</f>
        <v>1.0555555555555556</v>
      </c>
      <c r="AM18" s="874">
        <f>IF(ISNUMBER(((NºAsuntos!I18/NºAsuntos!G18)*11)/factor_trimestre),((NºAsuntos!I18/NºAsuntos!G18)*11)/factor_trimestre," - ")</f>
        <v>11.05263157894737</v>
      </c>
      <c r="AN18" s="875">
        <f>IF(ISNUMBER('Resol  Asuntos'!D18/NºAsuntos!G18),'Resol  Asuntos'!D18/NºAsuntos!G18," - ")</f>
        <v>8.4210526315789472E-2</v>
      </c>
      <c r="AO18" s="876">
        <f>IF(ISNUMBER((NºAsuntos!C18+NºAsuntos!E18)/NºAsuntos!G18),(NºAsuntos!C18+NºAsuntos!E18)/NºAsuntos!G18," - ")</f>
        <v>4.6842105263157894</v>
      </c>
      <c r="AP18" s="877" t="str">
        <f t="shared" si="2"/>
        <v xml:space="preserve"> - </v>
      </c>
      <c r="AQ18" s="877">
        <f>IF(ISNUMBER((H18-W18+K18)/(F18)),(H18-W18+K18)/(F18)," - ")</f>
        <v>-0.28106508875739644</v>
      </c>
      <c r="AR18" s="878">
        <f>IF(ISNUMBER((Datos!P18-Datos!Q18)/(Datos!R18-Datos!P18+Datos!Q18)),(Datos!P18-Datos!Q18)/(Datos!R18-Datos!P18+Datos!Q18)," - ")</f>
        <v>4.3478260869565216E-2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338</v>
      </c>
      <c r="G19" s="821">
        <f t="shared" si="13"/>
        <v>355</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95</v>
      </c>
      <c r="X19" s="821">
        <f t="shared" si="14"/>
        <v>12</v>
      </c>
      <c r="Y19" s="828">
        <f t="shared" si="14"/>
        <v>107</v>
      </c>
      <c r="Z19" s="828">
        <f t="shared" si="14"/>
        <v>0</v>
      </c>
      <c r="AA19" s="828">
        <f t="shared" si="14"/>
        <v>350</v>
      </c>
      <c r="AB19" s="828">
        <f t="shared" si="14"/>
        <v>238</v>
      </c>
      <c r="AC19" s="828">
        <f t="shared" si="14"/>
        <v>398</v>
      </c>
      <c r="AD19" s="828">
        <f t="shared" si="14"/>
        <v>0</v>
      </c>
      <c r="AE19" s="830">
        <f t="shared" si="14"/>
        <v>0</v>
      </c>
      <c r="AF19" s="831">
        <f t="shared" si="14"/>
        <v>0</v>
      </c>
      <c r="AG19" s="832">
        <f t="shared" si="14"/>
        <v>0</v>
      </c>
      <c r="AH19" s="830">
        <f t="shared" si="14"/>
        <v>0</v>
      </c>
      <c r="AI19" s="820">
        <f t="shared" si="14"/>
        <v>46</v>
      </c>
      <c r="AJ19" s="820">
        <f t="shared" si="14"/>
        <v>0</v>
      </c>
      <c r="AK19" s="830">
        <f t="shared" si="14"/>
        <v>0</v>
      </c>
      <c r="AL19" s="884">
        <f>IF(ISNUMBER(NºAsuntos!G19/NºAsuntos!E19),NºAsuntos!G19/NºAsuntos!E19," - ")</f>
        <v>1.0558659217877095</v>
      </c>
      <c r="AM19" s="885">
        <f>IF(ISNUMBER(((NºAsuntos!I19/NºAsuntos!G19)*11)/factor_trimestre),((NºAsuntos!I19/NºAsuntos!G19)*11)/factor_trimestre," - ")</f>
        <v>13.492063492063494</v>
      </c>
      <c r="AN19" s="885">
        <f>IF(ISNUMBER('Resol  Asuntos'!D19/NºAsuntos!G19),'Resol  Asuntos'!D19/NºAsuntos!G19," - ")</f>
        <v>0.24338624338624337</v>
      </c>
      <c r="AO19" s="886">
        <f>IF(ISNUMBER((NºAsuntos!C19+NºAsuntos!E19)/NºAsuntos!G19),(NºAsuntos!C19+NºAsuntos!E19)/NºAsuntos!G19," - ")</f>
        <v>5.4973544973544977</v>
      </c>
      <c r="AP19" s="887" t="str">
        <f t="shared" si="2"/>
        <v xml:space="preserve"> - </v>
      </c>
      <c r="AQ19" s="888">
        <f>IF(OR(ISNUMBER(FIND("01",Criterios!A8,1)),ISNUMBER(FIND("02",Criterios!A8,1)),ISNUMBER(FIND("03",Criterios!A8,1)),ISNUMBER(FIND("04",Criterios!A8,1))),(I19-W19+K19)/(F19-K19),(H19-W19+K19)/(F19-K19))</f>
        <v>-0.28106508875739644</v>
      </c>
      <c r="AR19" s="889">
        <f>IF(ISNUMBER((Datos!P19-Datos!Q19)/(Datos!R19-Datos!P19+Datos!Q19)),(Datos!P19-Datos!Q19)/(Datos!R19-Datos!P19+Datos!Q19)," - ")</f>
        <v>3.0303030303030304E-2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195.14439098609353</v>
      </c>
      <c r="G21" s="253">
        <f>IF(ISNUMBER(STDEV(G8:G18)),STDEV(G8:G18),"-")</f>
        <v>186.90773124726542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51.580034897235187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17.918333255821164</v>
      </c>
      <c r="AJ21" s="252">
        <f t="shared" si="18"/>
        <v>0</v>
      </c>
      <c r="AK21" s="254">
        <f t="shared" si="18"/>
        <v>0</v>
      </c>
      <c r="AL21" s="249">
        <f t="shared" si="18"/>
        <v>0.2500592668308943</v>
      </c>
      <c r="AM21" s="250">
        <f t="shared" si="18"/>
        <v>18.342159647489105</v>
      </c>
      <c r="AN21" s="250">
        <f t="shared" si="18"/>
        <v>0.19361682049889942</v>
      </c>
      <c r="AO21" s="251">
        <f t="shared" si="18"/>
        <v>6.1140532158297036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NrxZJriVIo0kXYOBsmhG5Bi6H8yGz/eBrvRuyR19FxfLYeWHod7dfTPpaA8mfsqr/hJFQ9QhWRpxlMkVdTtWA==" saltValue="kyfloY2s3sJeBrx4i0Mj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PIEDRAHITA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0.1875</v>
      </c>
      <c r="I12" s="350">
        <f>IF(ISNUMBER((Tasas!C12-Datos!BE12)/Datos!BE12),(Tasas!C12-Datos!BE12)/Datos!BE12," - ")</f>
        <v>0.16356382978723408</v>
      </c>
      <c r="J12" s="349">
        <f>IF(ISNUMBER((Tasas!D12-Datos!BF12)/Datos!BF12),(Tasas!D12-Datos!BF12)/Datos!BF12," - ")</f>
        <v>0.24843554443053803</v>
      </c>
      <c r="K12" s="351">
        <f>IF(ISNUMBER((Tasas!E12-Datos!BG12)/Datos!BG12),(Tasas!E12-Datos!BG12)/Datos!BG12," - ")</f>
        <v>0.13420621931260232</v>
      </c>
      <c r="M12" t="e">
        <f>IF(Monitorios="SI",Datos!CE12,0)</f>
        <v>#REF!</v>
      </c>
      <c r="N12" t="e">
        <f>IF(Monitorios="SI",Datos!CF12,0)</f>
        <v>#REF!</v>
      </c>
      <c r="O12" t="e">
        <f>IF(Monitorios="SI",Datos!CG12,0)</f>
        <v>#REF!</v>
      </c>
      <c r="P12" t="e">
        <f>IF(Monitorios="SI",Datos!CH12,0)</f>
        <v>#REF!</v>
      </c>
      <c r="Q12">
        <f>IF(J_V="SI",0,Datos!AG12)</f>
        <v>31</v>
      </c>
      <c r="R12">
        <f>IF(J_V="SI",0,Datos!AH12)</f>
        <v>22</v>
      </c>
      <c r="S12">
        <f>IF(J_V="SI",0,Datos!AI12)</f>
        <v>7</v>
      </c>
      <c r="T12">
        <f>IF(J_V="SI",0,Datos!AJ12)</f>
        <v>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0.1875</v>
      </c>
      <c r="I13" s="357">
        <f>IF(ISNUMBER((Tasas!C13-Datos!BE13)/Datos!BE13),(Tasas!C13-Datos!BE13)/Datos!BE13," - ")</f>
        <v>0.16114477816605483</v>
      </c>
      <c r="J13" s="355">
        <f>IF(ISNUMBER((Tasas!D13-Datos!BF13)/Datos!BF13),(Tasas!D13-Datos!BF13)/Datos!BF13," - ")</f>
        <v>0.24843554443053803</v>
      </c>
      <c r="K13" s="358">
        <f>IF(ISNUMBER((Tasas!E13-Datos!BG13)/Datos!BG13),(Tasas!E13-Datos!BG13)/Datos!BG13," - ")</f>
        <v>0.13227071381889483</v>
      </c>
      <c r="M13" t="e">
        <f>IF(Monitorios="SI",Datos!CE13,0)</f>
        <v>#REF!</v>
      </c>
      <c r="N13" t="e">
        <f>IF(Monitorios="SI",Datos!CF13,0)</f>
        <v>#REF!</v>
      </c>
      <c r="O13" t="e">
        <f>IF(Monitorios="SI",Datos!CG13,0)</f>
        <v>#REF!</v>
      </c>
      <c r="P13" t="e">
        <f>IF(Monitorios="SI",Datos!CH13,0)</f>
        <v>#REF!</v>
      </c>
      <c r="Q13">
        <f>IF(J_V="SI",0,Datos!AG13)</f>
        <v>31</v>
      </c>
      <c r="R13">
        <f>IF(J_V="SI",0,Datos!AH13)</f>
        <v>22</v>
      </c>
      <c r="S13">
        <f>IF(J_V="SI",0,Datos!AI13)</f>
        <v>7</v>
      </c>
      <c r="T13">
        <f>IF(J_V="SI",0,Datos!AJ13)</f>
        <v>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0.38524590163934425</v>
      </c>
      <c r="E16" s="348">
        <f>IF(ISNUMBER(
   IF(D_I="SI",(Datos!J16-Datos!T16)/Datos!T16,(Datos!J16+Datos!AD16-(Datos!T16+Datos!AL16))/(Datos!T16+Datos!AL16))
     ),IF(D_I="SI",(Datos!J16-Datos!T16)/Datos!T16,(Datos!J16+Datos!AD16-(Datos!T16+Datos!AL16))/(Datos!T16+Datos!AL16))," - ")</f>
        <v>-4.3478260869565216E-2</v>
      </c>
      <c r="F16" s="348">
        <f>IF(ISNUMBER(
   IF(D_I="SI",(Datos!K16-Datos!U16)/Datos!U16,(Datos!K16+Datos!AE16-(Datos!U16+Datos!AM16))/(Datos!U16+Datos!AM16))
     ),IF(D_I="SI",(Datos!K16-Datos!U16)/Datos!U16,(Datos!K16+Datos!AE16-(Datos!U16+Datos!AM16))/(Datos!U16+Datos!AM16))," - ")</f>
        <v>0.40298507462686567</v>
      </c>
      <c r="G16" s="349">
        <f>IF(ISNUMBER(
   IF(D_I="SI",(Datos!L16-Datos!V16)/Datos!V16,(Datos!L16+Datos!AF16-(Datos!V16+Datos!AN16))/(Datos!V16+Datos!AN16))
     ),IF(D_I="SI",(Datos!L16-Datos!V16)/Datos!V16,(Datos!L16+Datos!AF16-(Datos!V16+Datos!AN16))/(Datos!V16+Datos!AN16))," - ")</f>
        <v>0.22509225092250923</v>
      </c>
      <c r="H16" s="230">
        <f>IF(ISNUMBER((Datos!M16-Datos!W16)/Datos!W16),(Datos!M16-Datos!W16)/Datos!W16," - ")</f>
        <v>0</v>
      </c>
      <c r="I16" s="350">
        <f>IF(ISNUMBER((Tasas!C16-Datos!BE16)/Datos!BE16),(Tasas!C16-Datos!BE16)/Datos!BE16," - ")</f>
        <v>-0.12679594881055192</v>
      </c>
      <c r="J16" s="349">
        <f>IF(ISNUMBER((Tasas!D16-Datos!BF16)/Datos!BF16),(Tasas!D16-Datos!BF16)/Datos!BF16," - ")</f>
        <v>-0.28723404255319152</v>
      </c>
      <c r="K16" s="351">
        <f>IF(ISNUMBER((Tasas!E16-Datos!BG16)/Datos!BG16),(Tasas!E16-Datos!BG16)/Datos!BG16," - ")</f>
        <v>-9.6314589665653455E-2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0.13333333333333333</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0.2</v>
      </c>
      <c r="H17" s="230" t="str">
        <f>IF(ISNUMBER((Datos!M17-Datos!W17)/Datos!W17),(Datos!M17-Datos!W17)/Datos!W17," - ")</f>
        <v xml:space="preserve"> - </v>
      </c>
      <c r="I17" s="350">
        <f>IF(ISNUMBER((Tasas!C17-Datos!BE17)/Datos!BE17),(Tasas!C17-Datos!BE17)/Datos!BE17," - ")</f>
        <v>2.6</v>
      </c>
      <c r="J17" s="349" t="str">
        <f>IF(ISNUMBER((Tasas!D17-Datos!BF17)/Datos!BF17),(Tasas!D17-Datos!BF17)/Datos!BF17," - ")</f>
        <v xml:space="preserve"> - </v>
      </c>
      <c r="K17" s="351">
        <f>IF(ISNUMBER((Tasas!E17-Datos!BG17)/Datos!BG17),(Tasas!E17-Datos!BG17)/Datos!BG17," - ")</f>
        <v>2.1666666666666665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0.37065637065637064</v>
      </c>
      <c r="E18" s="354">
        <f>IF(ISNUMBER(
   IF(D_I="SI",(Datos!J18-Datos!T18)/Datos!T18,(Datos!J18+Datos!AD18-(Datos!T18+Datos!AL18))/(Datos!T18+Datos!AL18))
     ),IF(D_I="SI",(Datos!J18-Datos!T18)/Datos!T18,(Datos!J18+Datos!AD18-(Datos!T18+Datos!AL18))/(Datos!T18+Datos!AL18))," - ")</f>
        <v>-5.2631578947368418E-2</v>
      </c>
      <c r="F18" s="354">
        <f>IF(ISNUMBER(
   IF(D_I="SI",(Datos!K18-Datos!U18)/Datos!U18,(Datos!K18+Datos!AE18-(Datos!U18+Datos!AM18))/(Datos!U18+Datos!AM18))
     ),IF(D_I="SI",(Datos!K18-Datos!U18)/Datos!U18,(Datos!K18+Datos!AE18-(Datos!U18+Datos!AM18))/(Datos!U18+Datos!AM18))," - ")</f>
        <v>0.35714285714285715</v>
      </c>
      <c r="G18" s="355">
        <f>IF(ISNUMBER(
   IF(D_I="SI",(Datos!L18-Datos!V18)/Datos!V18,(Datos!L18+Datos!AF18-(Datos!V18+Datos!AN18))/(Datos!V18+Datos!AN18))
     ),IF(D_I="SI",(Datos!L18-Datos!V18)/Datos!V18,(Datos!L18+Datos!AF18-(Datos!V18+Datos!AN18))/(Datos!V18+Datos!AN18))," - ")</f>
        <v>0.22377622377622378</v>
      </c>
      <c r="H18" s="356">
        <f>IF(ISNUMBER((Datos!M18-Datos!W18)/Datos!W18),(Datos!M18-Datos!W18)/Datos!W18," - ")</f>
        <v>0</v>
      </c>
      <c r="I18" s="357">
        <f>IF(ISNUMBER((Tasas!C18-Datos!BE18)/Datos!BE18),(Tasas!C18-Datos!BE18)/Datos!BE18," - ")</f>
        <v>-9.8270150901729802E-2</v>
      </c>
      <c r="J18" s="355">
        <f>IF(ISNUMBER((Tasas!D18-Datos!BF18)/Datos!BF18),(Tasas!D18-Datos!BF18)/Datos!BF18," - ")</f>
        <v>-0.26315789473684209</v>
      </c>
      <c r="K18" s="358">
        <f>IF(ISNUMBER((Tasas!E18-Datos!BG18)/Datos!BG18),(Tasas!E18-Datos!BG18)/Datos!BG18," - ")</f>
        <v>-7.3743681236990766E-2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0.15281501340482573</v>
      </c>
      <c r="E19" s="363">
        <f>IF(ISNUMBER(
   IF(J_V="SI",(Datos!J19-Datos!T19)/Datos!T19,(Datos!J19+Datos!Z19-(Datos!T19+Datos!AH19))/(Datos!T19+Datos!AH19))
     ),IF(J_V="SI",(Datos!J19-Datos!T19)/Datos!T19,(Datos!J19+Datos!Z19-(Datos!T19+Datos!AH19))/(Datos!T19+Datos!AH19))," - ")</f>
        <v>-7.7319587628865982E-2</v>
      </c>
      <c r="F19" s="363">
        <f>IF(ISNUMBER(
   IF(J_V="SI",(Datos!K19-Datos!U19)/Datos!U19,(Datos!K19+Datos!AA19-(Datos!U19+Datos!AI19))/(Datos!U19+Datos!AI19))
     ),IF(J_V="SI",(Datos!K19-Datos!U19)/Datos!U19,(Datos!K19+Datos!AA19-(Datos!U19+Datos!AI19))/(Datos!U19+Datos!AI19))," - ")</f>
        <v>0.08</v>
      </c>
      <c r="G19" s="364">
        <f>IF(ISNUMBER(
   IF(J_V="SI",(Datos!L19-Datos!V19)/Datos!V19,(Datos!L19+Datos!AB19-(Datos!V19+Datos!AJ19))/(Datos!V19+Datos!AJ19))
     ),IF(J_V="SI",(Datos!L19-Datos!V19)/Datos!V19,(Datos!L19+Datos!AB19-(Datos!V19+Datos!AJ19))/(Datos!V19+Datos!AJ19))," - ")</f>
        <v>0.10821382007822686</v>
      </c>
      <c r="H19" s="365">
        <f>IF(ISNUMBER((Datos!M19-Datos!W19)/Datos!W19),(Datos!M19-Datos!W19)/Datos!W19," - ")</f>
        <v>0.15</v>
      </c>
      <c r="I19" s="362">
        <f>IF(ISNUMBER((Tasas!C19-Datos!BE19)/Datos!BE19),(Tasas!C19-Datos!BE19)/Datos!BE19," - ")</f>
        <v>2.6123907479839822E-2</v>
      </c>
      <c r="J19" s="363">
        <f>IF(ISNUMBER((Tasas!D19-Datos!BF19)/Datos!BF19),(Tasas!D19-Datos!BF19)/Datos!BF19," - ")</f>
        <v>1.4109347442680758E-2</v>
      </c>
      <c r="K19" s="364">
        <f>IF(ISNUMBER((Tasas!E19-Datos!BG19)/Datos!BG19),(Tasas!E19-Datos!BG19)/Datos!BG19," - ")</f>
        <v>2.3443656422379965E-2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0.65840998874833567</v>
      </c>
      <c r="E21" s="278">
        <f t="shared" si="1"/>
        <v>0.16476914212526175</v>
      </c>
      <c r="F21" s="278">
        <f t="shared" si="1"/>
        <v>0.60476473353958349</v>
      </c>
      <c r="G21" s="279">
        <f t="shared" si="1"/>
        <v>0.60825405403164934</v>
      </c>
      <c r="H21" s="285">
        <f t="shared" si="1"/>
        <v>0.10825317547305482</v>
      </c>
      <c r="I21" s="277">
        <f t="shared" si="1"/>
        <v>1.1598319993298072</v>
      </c>
      <c r="J21" s="278">
        <f t="shared" si="1"/>
        <v>0.30247853473849029</v>
      </c>
      <c r="K21" s="279">
        <f t="shared" si="1"/>
        <v>0.96441107482924582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Rdabl4Ld7scahXaPn8Lu/KSlM62T9zmEiE79MZvsajmxUd7NvYpmeiWoxN8LlAgB0bxz33vGEdrt4rwY09qsA==" saltValue="e57Utx1qBmdv1NhFxS1I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